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tables/table15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yariyama\Downloads\BACKUP YURIKO\PACC\PACC 2021\FINALES PACC 2021\PACC 2021 FINAL\"/>
    </mc:Choice>
  </mc:AlternateContent>
  <xr:revisionPtr revIDLastSave="0" documentId="8_{8924CB6B-F2BA-4C64-B34F-69C7B69FB7EE}"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PACC!$A$1:$F$1737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37" i="2" l="1"/>
  <c r="I1737" i="2"/>
  <c r="H1737" i="2"/>
  <c r="C1733" i="2"/>
  <c r="C1731" i="2"/>
  <c r="J1726" i="2"/>
  <c r="I1726" i="2"/>
  <c r="H1726" i="2"/>
  <c r="C1722" i="2"/>
  <c r="C1720" i="2"/>
  <c r="J1715" i="2"/>
  <c r="I1715" i="2"/>
  <c r="H1715" i="2"/>
  <c r="C1711" i="2"/>
  <c r="C1709" i="2"/>
  <c r="J1704" i="2"/>
  <c r="I1704" i="2"/>
  <c r="H1704" i="2"/>
  <c r="C1700" i="2"/>
  <c r="C1698" i="2"/>
  <c r="B1725" i="2"/>
  <c r="F786" i="2"/>
  <c r="B802" i="2"/>
  <c r="F1725" i="2"/>
  <c r="B1703" i="2"/>
  <c r="B786" i="2"/>
  <c r="F802" i="2"/>
  <c r="F1736" i="2"/>
  <c r="F1714" i="2"/>
  <c r="F1703" i="2"/>
  <c r="B1736" i="2"/>
  <c r="B1714" i="2"/>
  <c r="F1737" i="2" l="1"/>
  <c r="F1726" i="2"/>
  <c r="F1715" i="2"/>
  <c r="F1704" i="2"/>
  <c r="J1693" i="2" l="1"/>
  <c r="I1693" i="2"/>
  <c r="H1693" i="2"/>
  <c r="C1689" i="2"/>
  <c r="C1687" i="2"/>
  <c r="J1682" i="2"/>
  <c r="I1682" i="2"/>
  <c r="H1682" i="2"/>
  <c r="C1676" i="2"/>
  <c r="C1674" i="2"/>
  <c r="J1669" i="2"/>
  <c r="I1669" i="2"/>
  <c r="H1669" i="2"/>
  <c r="C1660" i="2"/>
  <c r="C1658" i="2"/>
  <c r="J1653" i="2"/>
  <c r="I1653" i="2"/>
  <c r="H1653" i="2"/>
  <c r="C1646" i="2"/>
  <c r="C1644" i="2"/>
  <c r="J1639" i="2"/>
  <c r="I1639" i="2"/>
  <c r="H1639" i="2"/>
  <c r="C1635" i="2"/>
  <c r="C1633" i="2"/>
  <c r="J1628" i="2"/>
  <c r="I1628" i="2"/>
  <c r="H1628" i="2"/>
  <c r="C1624" i="2"/>
  <c r="C1622" i="2"/>
  <c r="J1617" i="2"/>
  <c r="I1617" i="2"/>
  <c r="H1617" i="2"/>
  <c r="C1613" i="2"/>
  <c r="C1611" i="2"/>
  <c r="J1606" i="2"/>
  <c r="I1606" i="2"/>
  <c r="H1606" i="2"/>
  <c r="C1602" i="2"/>
  <c r="C1600" i="2"/>
  <c r="J1595" i="2"/>
  <c r="I1595" i="2"/>
  <c r="H1595" i="2"/>
  <c r="C1591" i="2"/>
  <c r="C1589" i="2"/>
  <c r="J1584" i="2"/>
  <c r="I1584" i="2"/>
  <c r="H1584" i="2"/>
  <c r="C1580" i="2"/>
  <c r="C1578" i="2"/>
  <c r="J1573" i="2"/>
  <c r="I1573" i="2"/>
  <c r="H1573" i="2"/>
  <c r="C1564" i="2"/>
  <c r="C1562" i="2"/>
  <c r="J1557" i="2"/>
  <c r="I1557" i="2"/>
  <c r="H1557" i="2"/>
  <c r="C1552" i="2"/>
  <c r="C1550" i="2"/>
  <c r="J1545" i="2"/>
  <c r="I1545" i="2"/>
  <c r="H1545" i="2"/>
  <c r="C1541" i="2"/>
  <c r="C1539" i="2"/>
  <c r="J1534" i="2"/>
  <c r="I1534" i="2"/>
  <c r="H1534" i="2"/>
  <c r="C1530" i="2"/>
  <c r="C1528" i="2"/>
  <c r="J1523" i="2"/>
  <c r="I1523" i="2"/>
  <c r="H1523" i="2"/>
  <c r="C1519" i="2"/>
  <c r="C1517" i="2"/>
  <c r="J1512" i="2"/>
  <c r="I1512" i="2"/>
  <c r="H1512" i="2"/>
  <c r="C1508" i="2"/>
  <c r="C1506" i="2"/>
  <c r="J1501" i="2"/>
  <c r="I1501" i="2"/>
  <c r="H1501" i="2"/>
  <c r="C1497" i="2"/>
  <c r="C1495" i="2"/>
  <c r="J1490" i="2"/>
  <c r="I1490" i="2"/>
  <c r="H1490" i="2"/>
  <c r="C1486" i="2"/>
  <c r="C1484" i="2"/>
  <c r="J1479" i="2"/>
  <c r="I1479" i="2"/>
  <c r="H1479" i="2"/>
  <c r="C1475" i="2"/>
  <c r="C1473" i="2"/>
  <c r="J1468" i="2"/>
  <c r="I1468" i="2"/>
  <c r="H1468" i="2"/>
  <c r="C1464" i="2"/>
  <c r="C1462" i="2"/>
  <c r="J1457" i="2"/>
  <c r="I1457" i="2"/>
  <c r="H1457" i="2"/>
  <c r="C1453" i="2"/>
  <c r="C1451" i="2"/>
  <c r="J1446" i="2"/>
  <c r="I1446" i="2"/>
  <c r="H1446" i="2"/>
  <c r="C1442" i="2"/>
  <c r="C1440" i="2"/>
  <c r="J1435" i="2"/>
  <c r="I1435" i="2"/>
  <c r="H1435" i="2"/>
  <c r="C1431" i="2"/>
  <c r="C1429" i="2"/>
  <c r="J1424" i="2"/>
  <c r="I1424" i="2"/>
  <c r="H1424" i="2"/>
  <c r="C1420" i="2"/>
  <c r="C1418" i="2"/>
  <c r="J1413" i="2"/>
  <c r="I1413" i="2"/>
  <c r="H1413" i="2"/>
  <c r="C1409" i="2"/>
  <c r="C1407" i="2"/>
  <c r="J1402" i="2"/>
  <c r="I1402" i="2"/>
  <c r="H1402" i="2"/>
  <c r="C1398" i="2"/>
  <c r="C1396" i="2"/>
  <c r="J1391" i="2"/>
  <c r="I1391" i="2"/>
  <c r="H1391" i="2"/>
  <c r="C1387" i="2"/>
  <c r="C1385" i="2"/>
  <c r="J1380" i="2"/>
  <c r="I1380" i="2"/>
  <c r="H1380" i="2"/>
  <c r="C1376" i="2"/>
  <c r="C1374" i="2"/>
  <c r="J1369" i="2"/>
  <c r="I1369" i="2"/>
  <c r="H1369" i="2"/>
  <c r="C1365" i="2"/>
  <c r="C1363" i="2"/>
  <c r="J1358" i="2"/>
  <c r="I1358" i="2"/>
  <c r="H1358" i="2"/>
  <c r="C1353" i="2"/>
  <c r="C1351" i="2"/>
  <c r="J1346" i="2"/>
  <c r="I1346" i="2"/>
  <c r="H1346" i="2"/>
  <c r="C1342" i="2"/>
  <c r="C1340" i="2"/>
  <c r="J1335" i="2"/>
  <c r="I1335" i="2"/>
  <c r="H1335" i="2"/>
  <c r="C1331" i="2"/>
  <c r="C1329" i="2"/>
  <c r="J1324" i="2"/>
  <c r="I1324" i="2"/>
  <c r="H1324" i="2"/>
  <c r="C1320" i="2"/>
  <c r="C1318" i="2"/>
  <c r="J1313" i="2"/>
  <c r="I1313" i="2"/>
  <c r="H1313" i="2"/>
  <c r="C1309" i="2"/>
  <c r="C1307" i="2"/>
  <c r="J1302" i="2"/>
  <c r="I1302" i="2"/>
  <c r="H1302" i="2"/>
  <c r="C1298" i="2"/>
  <c r="C1296" i="2"/>
  <c r="J1291" i="2"/>
  <c r="I1291" i="2"/>
  <c r="H1291" i="2"/>
  <c r="C1287" i="2"/>
  <c r="C1285" i="2"/>
  <c r="J1280" i="2"/>
  <c r="I1280" i="2"/>
  <c r="H1280" i="2"/>
  <c r="C1276" i="2"/>
  <c r="C1274" i="2"/>
  <c r="J1269" i="2"/>
  <c r="I1269" i="2"/>
  <c r="H1269" i="2"/>
  <c r="C1265" i="2"/>
  <c r="C1263" i="2"/>
  <c r="J1258" i="2"/>
  <c r="I1258" i="2"/>
  <c r="H1258" i="2"/>
  <c r="C1253" i="2"/>
  <c r="C1251" i="2"/>
  <c r="J1246" i="2"/>
  <c r="I1246" i="2"/>
  <c r="H1246" i="2"/>
  <c r="C1241" i="2"/>
  <c r="C1239" i="2"/>
  <c r="J1234" i="2"/>
  <c r="I1234" i="2"/>
  <c r="H1234" i="2"/>
  <c r="C1229" i="2"/>
  <c r="C1227" i="2"/>
  <c r="J1222" i="2"/>
  <c r="I1222" i="2"/>
  <c r="H1222" i="2"/>
  <c r="C1217" i="2"/>
  <c r="C1215" i="2"/>
  <c r="J1210" i="2"/>
  <c r="I1210" i="2"/>
  <c r="H1210" i="2"/>
  <c r="C1206" i="2"/>
  <c r="C1204" i="2"/>
  <c r="J1199" i="2"/>
  <c r="I1199" i="2"/>
  <c r="H1199" i="2"/>
  <c r="C1195" i="2"/>
  <c r="C1193" i="2"/>
  <c r="J1188" i="2"/>
  <c r="I1188" i="2"/>
  <c r="H1188" i="2"/>
  <c r="C1184" i="2"/>
  <c r="C1182" i="2"/>
  <c r="J1177" i="2"/>
  <c r="I1177" i="2"/>
  <c r="H1177" i="2"/>
  <c r="C1172" i="2"/>
  <c r="C1170" i="2"/>
  <c r="J1165" i="2"/>
  <c r="I1165" i="2"/>
  <c r="H1165" i="2"/>
  <c r="C1161" i="2"/>
  <c r="C1159" i="2"/>
  <c r="J1154" i="2"/>
  <c r="I1154" i="2"/>
  <c r="H1154" i="2"/>
  <c r="C1150" i="2"/>
  <c r="C1148" i="2"/>
  <c r="J1143" i="2"/>
  <c r="I1143" i="2"/>
  <c r="H1143" i="2"/>
  <c r="C1139" i="2"/>
  <c r="C1137" i="2"/>
  <c r="J1132" i="2"/>
  <c r="I1132" i="2"/>
  <c r="H1132" i="2"/>
  <c r="C1128" i="2"/>
  <c r="C1126" i="2"/>
  <c r="J1121" i="2"/>
  <c r="I1121" i="2"/>
  <c r="H1121" i="2"/>
  <c r="C1117" i="2"/>
  <c r="C1115" i="2"/>
  <c r="J1110" i="2"/>
  <c r="I1110" i="2"/>
  <c r="H1110" i="2"/>
  <c r="C1106" i="2"/>
  <c r="C1104" i="2"/>
  <c r="J1099" i="2"/>
  <c r="I1099" i="2"/>
  <c r="H1099" i="2"/>
  <c r="C1095" i="2"/>
  <c r="C1093" i="2"/>
  <c r="J1088" i="2"/>
  <c r="I1088" i="2"/>
  <c r="H1088" i="2"/>
  <c r="C1084" i="2"/>
  <c r="C1082" i="2"/>
  <c r="J1077" i="2"/>
  <c r="I1077" i="2"/>
  <c r="H1077" i="2"/>
  <c r="C1073" i="2"/>
  <c r="C1071" i="2"/>
  <c r="J1066" i="2"/>
  <c r="I1066" i="2"/>
  <c r="H1066" i="2"/>
  <c r="C1062" i="2"/>
  <c r="C1060" i="2"/>
  <c r="J1055" i="2"/>
  <c r="I1055" i="2"/>
  <c r="H1055" i="2"/>
  <c r="C1051" i="2"/>
  <c r="C1049" i="2"/>
  <c r="J1044" i="2"/>
  <c r="I1044" i="2"/>
  <c r="H1044" i="2"/>
  <c r="C1040" i="2"/>
  <c r="C1038" i="2"/>
  <c r="J1033" i="2"/>
  <c r="I1033" i="2"/>
  <c r="H1033" i="2"/>
  <c r="C1029" i="2"/>
  <c r="C1027" i="2"/>
  <c r="J1022" i="2"/>
  <c r="I1022" i="2"/>
  <c r="H1022" i="2"/>
  <c r="C1018" i="2"/>
  <c r="C1016" i="2"/>
  <c r="J1011" i="2"/>
  <c r="I1011" i="2"/>
  <c r="H1011" i="2"/>
  <c r="C1007" i="2"/>
  <c r="C1005" i="2"/>
  <c r="J1000" i="2"/>
  <c r="I1000" i="2"/>
  <c r="H1000" i="2"/>
  <c r="C996" i="2"/>
  <c r="C994" i="2"/>
  <c r="J989" i="2"/>
  <c r="I989" i="2"/>
  <c r="H989" i="2"/>
  <c r="C985" i="2"/>
  <c r="C983" i="2"/>
  <c r="J978" i="2"/>
  <c r="I978" i="2"/>
  <c r="H978" i="2"/>
  <c r="C974" i="2"/>
  <c r="C972" i="2"/>
  <c r="J967" i="2"/>
  <c r="I967" i="2"/>
  <c r="H967" i="2"/>
  <c r="C963" i="2"/>
  <c r="C961" i="2"/>
  <c r="J956" i="2"/>
  <c r="I956" i="2"/>
  <c r="H956" i="2"/>
  <c r="C952" i="2"/>
  <c r="C950" i="2"/>
  <c r="J945" i="2"/>
  <c r="I945" i="2"/>
  <c r="H945" i="2"/>
  <c r="C941" i="2"/>
  <c r="C939" i="2"/>
  <c r="J934" i="2"/>
  <c r="I934" i="2"/>
  <c r="H934" i="2"/>
  <c r="C930" i="2"/>
  <c r="C928" i="2"/>
  <c r="J923" i="2"/>
  <c r="I923" i="2"/>
  <c r="H923" i="2"/>
  <c r="C919" i="2"/>
  <c r="C917" i="2"/>
  <c r="J912" i="2"/>
  <c r="I912" i="2"/>
  <c r="H912" i="2"/>
  <c r="C907" i="2"/>
  <c r="C905" i="2"/>
  <c r="J900" i="2"/>
  <c r="I900" i="2"/>
  <c r="H900" i="2"/>
  <c r="C895" i="2"/>
  <c r="C893" i="2"/>
  <c r="J888" i="2"/>
  <c r="I888" i="2"/>
  <c r="H888" i="2"/>
  <c r="C884" i="2"/>
  <c r="C882" i="2"/>
  <c r="J877" i="2"/>
  <c r="I877" i="2"/>
  <c r="H877" i="2"/>
  <c r="C873" i="2"/>
  <c r="C871" i="2"/>
  <c r="J866" i="2"/>
  <c r="I866" i="2"/>
  <c r="H866" i="2"/>
  <c r="C862" i="2"/>
  <c r="C860" i="2"/>
  <c r="J855" i="2"/>
  <c r="I855" i="2"/>
  <c r="H855" i="2"/>
  <c r="C851" i="2"/>
  <c r="C849" i="2"/>
  <c r="J844" i="2"/>
  <c r="I844" i="2"/>
  <c r="H844" i="2"/>
  <c r="C840" i="2"/>
  <c r="C838" i="2"/>
  <c r="J833" i="2"/>
  <c r="I833" i="2"/>
  <c r="H833" i="2"/>
  <c r="C824" i="2"/>
  <c r="C822" i="2"/>
  <c r="J817" i="2"/>
  <c r="I817" i="2"/>
  <c r="H817" i="2"/>
  <c r="C810" i="2"/>
  <c r="C808" i="2"/>
  <c r="J803" i="2"/>
  <c r="I803" i="2"/>
  <c r="H803" i="2"/>
  <c r="C794" i="2"/>
  <c r="C792" i="2"/>
  <c r="J787" i="2"/>
  <c r="I787" i="2"/>
  <c r="H787" i="2"/>
  <c r="C780" i="2"/>
  <c r="C778" i="2"/>
  <c r="J773" i="2"/>
  <c r="I773" i="2"/>
  <c r="H773" i="2"/>
  <c r="C768" i="2"/>
  <c r="C766" i="2"/>
  <c r="J761" i="2"/>
  <c r="I761" i="2"/>
  <c r="H761" i="2"/>
  <c r="C756" i="2"/>
  <c r="C754" i="2"/>
  <c r="J749" i="2"/>
  <c r="I749" i="2"/>
  <c r="H749" i="2"/>
  <c r="C743" i="2"/>
  <c r="C741" i="2"/>
  <c r="J736" i="2"/>
  <c r="I736" i="2"/>
  <c r="H736" i="2"/>
  <c r="C732" i="2"/>
  <c r="C730" i="2"/>
  <c r="J725" i="2"/>
  <c r="I725" i="2"/>
  <c r="H725" i="2"/>
  <c r="C721" i="2"/>
  <c r="C719" i="2"/>
  <c r="J714" i="2"/>
  <c r="I714" i="2"/>
  <c r="H714" i="2"/>
  <c r="C710" i="2"/>
  <c r="C708" i="2"/>
  <c r="J703" i="2"/>
  <c r="I703" i="2"/>
  <c r="H703" i="2"/>
  <c r="C699" i="2"/>
  <c r="C697" i="2"/>
  <c r="J692" i="2"/>
  <c r="I692" i="2"/>
  <c r="H692" i="2"/>
  <c r="C688" i="2"/>
  <c r="C686" i="2"/>
  <c r="J681" i="2"/>
  <c r="I681" i="2"/>
  <c r="H681" i="2"/>
  <c r="C677" i="2"/>
  <c r="C675" i="2"/>
  <c r="J670" i="2"/>
  <c r="I670" i="2"/>
  <c r="H670" i="2"/>
  <c r="C666" i="2"/>
  <c r="C664" i="2"/>
  <c r="J659" i="2"/>
  <c r="I659" i="2"/>
  <c r="H659" i="2"/>
  <c r="C655" i="2"/>
  <c r="C653" i="2"/>
  <c r="J648" i="2"/>
  <c r="I648" i="2"/>
  <c r="H648" i="2"/>
  <c r="C644" i="2"/>
  <c r="C642" i="2"/>
  <c r="J637" i="2"/>
  <c r="I637" i="2"/>
  <c r="H637" i="2"/>
  <c r="C632" i="2"/>
  <c r="C630" i="2"/>
  <c r="J625" i="2"/>
  <c r="I625" i="2"/>
  <c r="H625" i="2"/>
  <c r="C620" i="2"/>
  <c r="C618" i="2"/>
  <c r="J613" i="2"/>
  <c r="I613" i="2"/>
  <c r="H613" i="2"/>
  <c r="C608" i="2"/>
  <c r="C606" i="2"/>
  <c r="J601" i="2"/>
  <c r="I601" i="2"/>
  <c r="H601" i="2"/>
  <c r="C596" i="2"/>
  <c r="C594" i="2"/>
  <c r="J589" i="2"/>
  <c r="I589" i="2"/>
  <c r="H589" i="2"/>
  <c r="C585" i="2"/>
  <c r="C583" i="2"/>
  <c r="J578" i="2"/>
  <c r="I578" i="2"/>
  <c r="H578" i="2"/>
  <c r="C574" i="2"/>
  <c r="C572" i="2"/>
  <c r="J567" i="2"/>
  <c r="I567" i="2"/>
  <c r="H567" i="2"/>
  <c r="C563" i="2"/>
  <c r="C561" i="2"/>
  <c r="J556" i="2"/>
  <c r="I556" i="2"/>
  <c r="H556" i="2"/>
  <c r="C552" i="2"/>
  <c r="C550" i="2"/>
  <c r="J545" i="2"/>
  <c r="I545" i="2"/>
  <c r="H545" i="2"/>
  <c r="C541" i="2"/>
  <c r="C539" i="2"/>
  <c r="J534" i="2"/>
  <c r="I534" i="2"/>
  <c r="H534" i="2"/>
  <c r="C530" i="2"/>
  <c r="C528" i="2"/>
  <c r="J523" i="2"/>
  <c r="I523" i="2"/>
  <c r="H523" i="2"/>
  <c r="C519" i="2"/>
  <c r="C517" i="2"/>
  <c r="J512" i="2"/>
  <c r="I512" i="2"/>
  <c r="H512" i="2"/>
  <c r="C508" i="2"/>
  <c r="C506" i="2"/>
  <c r="J501" i="2"/>
  <c r="I501" i="2"/>
  <c r="H501" i="2"/>
  <c r="C497" i="2"/>
  <c r="C495" i="2"/>
  <c r="J490" i="2"/>
  <c r="I490" i="2"/>
  <c r="H490" i="2"/>
  <c r="C486" i="2"/>
  <c r="C484" i="2"/>
  <c r="J479" i="2"/>
  <c r="I479" i="2"/>
  <c r="H479" i="2"/>
  <c r="C475" i="2"/>
  <c r="C473" i="2"/>
  <c r="J468" i="2"/>
  <c r="I468" i="2"/>
  <c r="H468" i="2"/>
  <c r="C464" i="2"/>
  <c r="C462" i="2"/>
  <c r="J457" i="2"/>
  <c r="I457" i="2"/>
  <c r="H457" i="2"/>
  <c r="C453" i="2"/>
  <c r="C451" i="2"/>
  <c r="J446" i="2"/>
  <c r="I446" i="2"/>
  <c r="H446" i="2"/>
  <c r="C442" i="2"/>
  <c r="C440" i="2"/>
  <c r="J435" i="2"/>
  <c r="I435" i="2"/>
  <c r="H435" i="2"/>
  <c r="C431" i="2"/>
  <c r="C429" i="2"/>
  <c r="J424" i="2"/>
  <c r="I424" i="2"/>
  <c r="H424" i="2"/>
  <c r="C420" i="2"/>
  <c r="C418" i="2"/>
  <c r="J413" i="2"/>
  <c r="I413" i="2"/>
  <c r="H413" i="2"/>
  <c r="C409" i="2"/>
  <c r="C407" i="2"/>
  <c r="J402" i="2"/>
  <c r="I402" i="2"/>
  <c r="H402" i="2"/>
  <c r="C398" i="2"/>
  <c r="C396" i="2"/>
  <c r="J391" i="2"/>
  <c r="I391" i="2"/>
  <c r="H391" i="2"/>
  <c r="C387" i="2"/>
  <c r="C385" i="2"/>
  <c r="J380" i="2"/>
  <c r="I380" i="2"/>
  <c r="H380" i="2"/>
  <c r="C376" i="2"/>
  <c r="C374" i="2"/>
  <c r="J369" i="2"/>
  <c r="I369" i="2"/>
  <c r="H369" i="2"/>
  <c r="C365" i="2"/>
  <c r="C363" i="2"/>
  <c r="J358" i="2"/>
  <c r="I358" i="2"/>
  <c r="H358" i="2"/>
  <c r="C354" i="2"/>
  <c r="C352" i="2"/>
  <c r="J347" i="2"/>
  <c r="I347" i="2"/>
  <c r="H347" i="2"/>
  <c r="C343" i="2"/>
  <c r="C341" i="2"/>
  <c r="J336" i="2"/>
  <c r="I336" i="2"/>
  <c r="H336" i="2"/>
  <c r="C332" i="2"/>
  <c r="C330" i="2"/>
  <c r="J325" i="2"/>
  <c r="I325" i="2"/>
  <c r="H325" i="2"/>
  <c r="C321" i="2"/>
  <c r="C319" i="2"/>
  <c r="J314" i="2"/>
  <c r="I314" i="2"/>
  <c r="H314" i="2"/>
  <c r="C310" i="2"/>
  <c r="C308" i="2"/>
  <c r="J303" i="2"/>
  <c r="I303" i="2"/>
  <c r="H303" i="2"/>
  <c r="C299" i="2"/>
  <c r="C297" i="2"/>
  <c r="J292" i="2"/>
  <c r="I292" i="2"/>
  <c r="H292" i="2"/>
  <c r="C288" i="2"/>
  <c r="C286" i="2"/>
  <c r="J281" i="2"/>
  <c r="I281" i="2"/>
  <c r="H281" i="2"/>
  <c r="C277" i="2"/>
  <c r="C275" i="2"/>
  <c r="J270" i="2"/>
  <c r="I270" i="2"/>
  <c r="H270" i="2"/>
  <c r="C266" i="2"/>
  <c r="C264" i="2"/>
  <c r="J259" i="2"/>
  <c r="I259" i="2"/>
  <c r="H259" i="2"/>
  <c r="C255" i="2"/>
  <c r="C253" i="2"/>
  <c r="J248" i="2"/>
  <c r="I248" i="2"/>
  <c r="H248" i="2"/>
  <c r="C244" i="2"/>
  <c r="C242" i="2"/>
  <c r="J237" i="2"/>
  <c r="I237" i="2"/>
  <c r="H237" i="2"/>
  <c r="C233" i="2"/>
  <c r="C231" i="2"/>
  <c r="J226" i="2"/>
  <c r="I226" i="2"/>
  <c r="H226" i="2"/>
  <c r="C222" i="2"/>
  <c r="C220" i="2"/>
  <c r="J215" i="2"/>
  <c r="I215" i="2"/>
  <c r="H215" i="2"/>
  <c r="C211" i="2"/>
  <c r="C209" i="2"/>
  <c r="J204" i="2"/>
  <c r="I204" i="2"/>
  <c r="H204" i="2"/>
  <c r="C200" i="2"/>
  <c r="C198" i="2"/>
  <c r="J193" i="2"/>
  <c r="I193" i="2"/>
  <c r="H193" i="2"/>
  <c r="C187" i="2"/>
  <c r="C185" i="2"/>
  <c r="J180" i="2"/>
  <c r="I180" i="2"/>
  <c r="H180" i="2"/>
  <c r="C174" i="2"/>
  <c r="C172" i="2"/>
  <c r="J167" i="2"/>
  <c r="I167" i="2"/>
  <c r="H167" i="2"/>
  <c r="C161" i="2"/>
  <c r="C159" i="2"/>
  <c r="J154" i="2"/>
  <c r="I154" i="2"/>
  <c r="H154" i="2"/>
  <c r="C148" i="2"/>
  <c r="C146" i="2"/>
  <c r="J141" i="2"/>
  <c r="I141" i="2"/>
  <c r="H141" i="2"/>
  <c r="C136" i="2"/>
  <c r="C134" i="2"/>
  <c r="J129" i="2"/>
  <c r="I129" i="2"/>
  <c r="H129" i="2"/>
  <c r="C124" i="2"/>
  <c r="C122" i="2"/>
  <c r="J117" i="2"/>
  <c r="I117" i="2"/>
  <c r="H117" i="2"/>
  <c r="C113" i="2"/>
  <c r="C111" i="2"/>
  <c r="J106" i="2"/>
  <c r="I106" i="2"/>
  <c r="H106" i="2"/>
  <c r="C102" i="2"/>
  <c r="C100" i="2"/>
  <c r="J95" i="2"/>
  <c r="I95" i="2"/>
  <c r="H95" i="2"/>
  <c r="C89" i="2"/>
  <c r="C87" i="2"/>
  <c r="J82" i="2"/>
  <c r="I82" i="2"/>
  <c r="H82" i="2"/>
  <c r="C76" i="2"/>
  <c r="C74" i="2"/>
  <c r="J69" i="2"/>
  <c r="I69" i="2"/>
  <c r="H69" i="2"/>
  <c r="C65" i="2"/>
  <c r="C63" i="2"/>
  <c r="J58" i="2"/>
  <c r="I58" i="2"/>
  <c r="H58" i="2"/>
  <c r="C54" i="2"/>
  <c r="C52" i="2"/>
  <c r="F1176" i="2"/>
  <c r="F140" i="2"/>
  <c r="B140" i="2"/>
  <c r="B1176" i="2"/>
  <c r="J47" i="2" l="1"/>
  <c r="I47" i="2"/>
  <c r="H47" i="2"/>
  <c r="C42" i="2"/>
  <c r="C40" i="2"/>
  <c r="J35" i="2"/>
  <c r="I35" i="2"/>
  <c r="H35" i="2"/>
  <c r="C31" i="2"/>
  <c r="C29" i="2"/>
  <c r="J10" i="5" l="1"/>
  <c r="I10" i="5"/>
  <c r="H10" i="5"/>
  <c r="C6" i="5"/>
  <c r="C4" i="5"/>
  <c r="J24" i="2"/>
  <c r="C39" i="1" s="1"/>
  <c r="I24" i="2"/>
  <c r="H24" i="2"/>
  <c r="C20" i="1" s="1"/>
  <c r="C20" i="2"/>
  <c r="C18" i="2"/>
  <c r="B3" i="2"/>
  <c r="C38" i="1"/>
  <c r="C37" i="1"/>
  <c r="C36" i="1"/>
  <c r="C34" i="1"/>
  <c r="C33" i="1"/>
  <c r="C32" i="1"/>
  <c r="C31" i="1"/>
  <c r="C30" i="1"/>
  <c r="C29" i="1"/>
  <c r="C14" i="1"/>
  <c r="C13" i="1"/>
  <c r="C12" i="1"/>
  <c r="C11" i="1"/>
  <c r="C10" i="1"/>
  <c r="C9" i="1"/>
  <c r="F23" i="2"/>
  <c r="F500" i="2"/>
  <c r="B1555" i="2"/>
  <c r="B1681" i="2"/>
  <c r="F624" i="2"/>
  <c r="B611" i="2"/>
  <c r="B760" i="2"/>
  <c r="F165" i="2"/>
  <c r="B830" i="2"/>
  <c r="B772" i="2"/>
  <c r="F815" i="2"/>
  <c r="F1679" i="2"/>
  <c r="F887" i="2"/>
  <c r="F1572" i="2"/>
  <c r="B854" i="2"/>
  <c r="F1511" i="2"/>
  <c r="F785" i="2"/>
  <c r="F247" i="2"/>
  <c r="B1357" i="2"/>
  <c r="B190" i="2"/>
  <c r="B1076" i="2"/>
  <c r="F829" i="2"/>
  <c r="F1098" i="2"/>
  <c r="B1131" i="2"/>
  <c r="F478" i="2"/>
  <c r="F191" i="2"/>
  <c r="F1692" i="2"/>
  <c r="B214" i="2"/>
  <c r="B759" i="2"/>
  <c r="B357" i="2"/>
  <c r="B1142" i="2"/>
  <c r="B1233" i="2"/>
  <c r="F724" i="2"/>
  <c r="F1043" i="2"/>
  <c r="B1187" i="2"/>
  <c r="F747" i="2"/>
  <c r="F1021" i="2"/>
  <c r="B887" i="2"/>
  <c r="F636" i="2"/>
  <c r="F489" i="2"/>
  <c r="B1109" i="2"/>
  <c r="B34" i="2"/>
  <c r="B1522" i="2"/>
  <c r="B1021" i="2"/>
  <c r="B1175" i="2"/>
  <c r="B236" i="2"/>
  <c r="F955" i="2"/>
  <c r="F368" i="2"/>
  <c r="B1334" i="2"/>
  <c r="F1666" i="2"/>
  <c r="F772" i="2"/>
  <c r="F1032" i="2"/>
  <c r="F1220" i="2"/>
  <c r="B1445" i="2"/>
  <c r="F784" i="2"/>
  <c r="F1616" i="2"/>
  <c r="F214" i="2"/>
  <c r="B1257" i="2"/>
  <c r="F280" i="2"/>
  <c r="B1627" i="2"/>
  <c r="B1680" i="2"/>
  <c r="B1583" i="2"/>
  <c r="F1357" i="2"/>
  <c r="B599" i="2"/>
  <c r="B800" i="2"/>
  <c r="F1312" i="2"/>
  <c r="F533" i="2"/>
  <c r="B785" i="2"/>
  <c r="B1301" i="2"/>
  <c r="F1500" i="2"/>
  <c r="F1175" i="2"/>
  <c r="F1667" i="2"/>
  <c r="B876" i="2"/>
  <c r="F1334" i="2"/>
  <c r="F933" i="2"/>
  <c r="F1668" i="2"/>
  <c r="F1356" i="2"/>
  <c r="B1556" i="2"/>
  <c r="B748" i="2"/>
  <c r="B280" i="2"/>
  <c r="F735" i="2"/>
  <c r="F680" i="2"/>
  <c r="B445" i="2"/>
  <c r="F966" i="2"/>
  <c r="F816" i="2"/>
  <c r="B1544" i="2"/>
  <c r="B988" i="2"/>
  <c r="B533" i="2"/>
  <c r="F691" i="2"/>
  <c r="B827" i="2"/>
  <c r="B423" i="2"/>
  <c r="F813" i="2"/>
  <c r="B1467" i="2"/>
  <c r="B724" i="2"/>
  <c r="F1651" i="2"/>
  <c r="F702" i="2"/>
  <c r="F434" i="2"/>
  <c r="F236" i="2"/>
  <c r="F1533" i="2"/>
  <c r="F401" i="2"/>
  <c r="B1209" i="2"/>
  <c r="B1434" i="2"/>
  <c r="B814" i="2"/>
  <c r="F1209" i="2"/>
  <c r="F357" i="2"/>
  <c r="B92" i="2"/>
  <c r="F1268" i="2"/>
  <c r="B511" i="2"/>
  <c r="F830" i="2"/>
  <c r="F166" i="2"/>
  <c r="F1569" i="2"/>
  <c r="B1478" i="2"/>
  <c r="B1533" i="2"/>
  <c r="F456" i="2"/>
  <c r="B335" i="2"/>
  <c r="F1583" i="2"/>
  <c r="B735" i="2"/>
  <c r="F544" i="2"/>
  <c r="F922" i="2"/>
  <c r="B456" i="2"/>
  <c r="F1054" i="2"/>
  <c r="B94" i="2"/>
  <c r="B1570" i="2"/>
  <c r="B1379" i="2"/>
  <c r="F152" i="2"/>
  <c r="F1412" i="2"/>
  <c r="F1663" i="2"/>
  <c r="B624" i="2"/>
  <c r="B500" i="2"/>
  <c r="F999" i="2"/>
  <c r="B1164" i="2"/>
  <c r="B166" i="2"/>
  <c r="F612" i="2"/>
  <c r="B702" i="2"/>
  <c r="B9" i="5"/>
  <c r="F899" i="2"/>
  <c r="B1087" i="2"/>
  <c r="B1323" i="2"/>
  <c r="B1664" i="2"/>
  <c r="F658" i="2"/>
  <c r="B1065" i="2"/>
  <c r="B45" i="2"/>
  <c r="B623" i="2"/>
  <c r="B1220" i="2"/>
  <c r="B81" i="2"/>
  <c r="B577" i="2"/>
  <c r="F92" i="2"/>
  <c r="F139" i="2"/>
  <c r="B192" i="2"/>
  <c r="B783" i="2"/>
  <c r="F1571" i="2"/>
  <c r="B1345" i="2"/>
  <c r="F291" i="2"/>
  <c r="F151" i="2"/>
  <c r="F116" i="2"/>
  <c r="F178" i="2"/>
  <c r="B933" i="2"/>
  <c r="F1555" i="2"/>
  <c r="B1412" i="2"/>
  <c r="F1198" i="2"/>
  <c r="F1065" i="2"/>
  <c r="B291" i="2"/>
  <c r="B713" i="2"/>
  <c r="B1401" i="2"/>
  <c r="F1232" i="2"/>
  <c r="F1368" i="2"/>
  <c r="B1368" i="2"/>
  <c r="B865" i="2"/>
  <c r="F1131" i="2"/>
  <c r="F832" i="2"/>
  <c r="F94" i="2"/>
  <c r="F1087" i="2"/>
  <c r="B843" i="2"/>
  <c r="B1032" i="2"/>
  <c r="B1456" i="2"/>
  <c r="B313" i="2"/>
  <c r="F1605" i="2"/>
  <c r="F346" i="2"/>
  <c r="B944" i="2"/>
  <c r="B955" i="2"/>
  <c r="B368" i="2"/>
  <c r="F105" i="2"/>
  <c r="F335" i="2"/>
  <c r="B79" i="2"/>
  <c r="B1244" i="2"/>
  <c r="B566" i="2"/>
  <c r="B1423" i="2"/>
  <c r="B1663" i="2"/>
  <c r="B1356" i="2"/>
  <c r="B1650" i="2"/>
  <c r="B302" i="2"/>
  <c r="F1256" i="2"/>
  <c r="B1665" i="2"/>
  <c r="B522" i="2"/>
  <c r="B910" i="2"/>
  <c r="F831" i="2"/>
  <c r="F1665" i="2"/>
  <c r="B1594" i="2"/>
  <c r="F814" i="2"/>
  <c r="B1649" i="2"/>
  <c r="B1668" i="2"/>
  <c r="B105" i="2"/>
  <c r="F1233" i="2"/>
  <c r="F80" i="2"/>
  <c r="F177" i="2"/>
  <c r="F771" i="2"/>
  <c r="B635" i="2"/>
  <c r="F760" i="2"/>
  <c r="B1198" i="2"/>
  <c r="F1556" i="2"/>
  <c r="B1010" i="2"/>
  <c r="B1153" i="2"/>
  <c r="F1390" i="2"/>
  <c r="F1221" i="2"/>
  <c r="B1567" i="2"/>
  <c r="B269" i="2"/>
  <c r="B797" i="2"/>
  <c r="F588" i="2"/>
  <c r="F1245" i="2"/>
  <c r="B799" i="2"/>
  <c r="B829" i="2"/>
  <c r="F302" i="2"/>
  <c r="F623" i="2"/>
  <c r="F1478" i="2"/>
  <c r="F713" i="2"/>
  <c r="B647" i="2"/>
  <c r="F1544" i="2"/>
  <c r="F79" i="2"/>
  <c r="F258" i="2"/>
  <c r="B1232" i="2"/>
  <c r="F390" i="2"/>
  <c r="B1279" i="2"/>
  <c r="B1489" i="2"/>
  <c r="B152" i="2"/>
  <c r="B1312" i="2"/>
  <c r="F1649" i="2"/>
  <c r="F203" i="2"/>
  <c r="B401" i="2"/>
  <c r="B658" i="2"/>
  <c r="F522" i="2"/>
  <c r="F9" i="5"/>
  <c r="B600" i="2"/>
  <c r="B68" i="2"/>
  <c r="F45" i="2"/>
  <c r="F566" i="2"/>
  <c r="B1568" i="2"/>
  <c r="F127" i="2"/>
  <c r="B116" i="2"/>
  <c r="F1301" i="2"/>
  <c r="B680" i="2"/>
  <c r="F46" i="2"/>
  <c r="B489" i="2"/>
  <c r="F988" i="2"/>
  <c r="F1290" i="2"/>
  <c r="F1681" i="2"/>
  <c r="F93" i="2"/>
  <c r="B911" i="2"/>
  <c r="F555" i="2"/>
  <c r="F1120" i="2"/>
  <c r="B801" i="2"/>
  <c r="B1098" i="2"/>
  <c r="F1379" i="2"/>
  <c r="F854" i="2"/>
  <c r="B225" i="2"/>
  <c r="F467" i="2"/>
  <c r="B164" i="2"/>
  <c r="F1076" i="2"/>
  <c r="F313" i="2"/>
  <c r="B258" i="2"/>
  <c r="F843" i="2"/>
  <c r="B798" i="2"/>
  <c r="F1638" i="2"/>
  <c r="F1489" i="2"/>
  <c r="F412" i="2"/>
  <c r="F1568" i="2"/>
  <c r="B346" i="2"/>
  <c r="F759" i="2"/>
  <c r="B46" i="2"/>
  <c r="B165" i="2"/>
  <c r="F800" i="2"/>
  <c r="F1570" i="2"/>
  <c r="B669" i="2"/>
  <c r="F225" i="2"/>
  <c r="B1679" i="2"/>
  <c r="F179" i="2"/>
  <c r="B23" i="2"/>
  <c r="B1500" i="2"/>
  <c r="F748" i="2"/>
  <c r="B1256" i="2"/>
  <c r="F798" i="2"/>
  <c r="B1638" i="2"/>
  <c r="F1652" i="2"/>
  <c r="B127" i="2"/>
  <c r="F1187" i="2"/>
  <c r="B1569" i="2"/>
  <c r="F944" i="2"/>
  <c r="F164" i="2"/>
  <c r="B128" i="2"/>
  <c r="B80" i="2"/>
  <c r="F34" i="2"/>
  <c r="F783" i="2"/>
  <c r="B1511" i="2"/>
  <c r="B898" i="2"/>
  <c r="B1268" i="2"/>
  <c r="B1390" i="2"/>
  <c r="F1109" i="2"/>
  <c r="B177" i="2"/>
  <c r="F153" i="2"/>
  <c r="F1142" i="2"/>
  <c r="B1290" i="2"/>
  <c r="F635" i="2"/>
  <c r="F423" i="2"/>
  <c r="F1664" i="2"/>
  <c r="F876" i="2"/>
  <c r="B1651" i="2"/>
  <c r="B588" i="2"/>
  <c r="F599" i="2"/>
  <c r="B412" i="2"/>
  <c r="F68" i="2"/>
  <c r="F911" i="2"/>
  <c r="F1594" i="2"/>
  <c r="B1616" i="2"/>
  <c r="F977" i="2"/>
  <c r="B999" i="2"/>
  <c r="B977" i="2"/>
  <c r="F1680" i="2"/>
  <c r="F81" i="2"/>
  <c r="F799" i="2"/>
  <c r="F269" i="2"/>
  <c r="B691" i="2"/>
  <c r="F797" i="2"/>
  <c r="F600" i="2"/>
  <c r="B434" i="2"/>
  <c r="F1153" i="2"/>
  <c r="B828" i="2"/>
  <c r="B1571" i="2"/>
  <c r="B1221" i="2"/>
  <c r="B153" i="2"/>
  <c r="F1434" i="2"/>
  <c r="F1401" i="2"/>
  <c r="B747" i="2"/>
  <c r="F669" i="2"/>
  <c r="F827" i="2"/>
  <c r="F1257" i="2"/>
  <c r="F647" i="2"/>
  <c r="B1667" i="2"/>
  <c r="B1572" i="2"/>
  <c r="B467" i="2"/>
  <c r="B179" i="2"/>
  <c r="B746" i="2"/>
  <c r="B922" i="2"/>
  <c r="F324" i="2"/>
  <c r="B815" i="2"/>
  <c r="F1522" i="2"/>
  <c r="F379" i="2"/>
  <c r="B813" i="2"/>
  <c r="B1120" i="2"/>
  <c r="F1627" i="2"/>
  <c r="B379" i="2"/>
  <c r="F511" i="2"/>
  <c r="B784" i="2"/>
  <c r="B324" i="2"/>
  <c r="B612" i="2"/>
  <c r="F611" i="2"/>
  <c r="F1010" i="2"/>
  <c r="F1279" i="2"/>
  <c r="F1650" i="2"/>
  <c r="B771" i="2"/>
  <c r="B1605" i="2"/>
  <c r="B247" i="2"/>
  <c r="F1467" i="2"/>
  <c r="F192" i="2"/>
  <c r="F1567" i="2"/>
  <c r="F898" i="2"/>
  <c r="B1666" i="2"/>
  <c r="B178" i="2"/>
  <c r="F1456" i="2"/>
  <c r="F577" i="2"/>
  <c r="B832" i="2"/>
  <c r="F865" i="2"/>
  <c r="B636" i="2"/>
  <c r="B93" i="2"/>
  <c r="B1043" i="2"/>
  <c r="F910" i="2"/>
  <c r="F1345" i="2"/>
  <c r="B191" i="2"/>
  <c r="F1423" i="2"/>
  <c r="F828" i="2"/>
  <c r="B544" i="2"/>
  <c r="B966" i="2"/>
  <c r="B139" i="2"/>
  <c r="F190" i="2"/>
  <c r="B816" i="2"/>
  <c r="F128" i="2"/>
  <c r="B57" i="2"/>
  <c r="B390" i="2"/>
  <c r="F1323" i="2"/>
  <c r="F57" i="2"/>
  <c r="B151" i="2"/>
  <c r="F801" i="2"/>
  <c r="B1054" i="2"/>
  <c r="F1445" i="2"/>
  <c r="F1244" i="2"/>
  <c r="B1245" i="2"/>
  <c r="F746" i="2"/>
  <c r="B203" i="2"/>
  <c r="F1164" i="2"/>
  <c r="B1652" i="2"/>
  <c r="B555" i="2"/>
  <c r="B478" i="2"/>
  <c r="B831" i="2"/>
  <c r="B899" i="2"/>
  <c r="B1692" i="2"/>
  <c r="F445" i="2"/>
  <c r="C17" i="1" l="1"/>
  <c r="F1324" i="2"/>
  <c r="F413" i="2"/>
  <c r="F226" i="2"/>
  <c r="F725" i="2"/>
  <c r="F833" i="2"/>
  <c r="F1639" i="2"/>
  <c r="F259" i="2"/>
  <c r="F1413" i="2"/>
  <c r="F314" i="2"/>
  <c r="F855" i="2"/>
  <c r="F613" i="2"/>
  <c r="F1653" i="2"/>
  <c r="F1479" i="2"/>
  <c r="F888" i="2"/>
  <c r="F1110" i="2"/>
  <c r="F670" i="2"/>
  <c r="F248" i="2"/>
  <c r="F1512" i="2"/>
  <c r="F1177" i="2"/>
  <c r="F1055" i="2"/>
  <c r="F978" i="2"/>
  <c r="F956" i="2"/>
  <c r="F281" i="2"/>
  <c r="F1132" i="2"/>
  <c r="F270" i="2"/>
  <c r="F1291" i="2"/>
  <c r="F292" i="2"/>
  <c r="F601" i="2"/>
  <c r="F204" i="2"/>
  <c r="F1628" i="2"/>
  <c r="F501" i="2"/>
  <c r="F1573" i="2"/>
  <c r="F468" i="2"/>
  <c r="F1099" i="2"/>
  <c r="F1210" i="2"/>
  <c r="F1391" i="2"/>
  <c r="F69" i="2"/>
  <c r="F347" i="2"/>
  <c r="F659" i="2"/>
  <c r="F877" i="2"/>
  <c r="F1199" i="2"/>
  <c r="F1501" i="2"/>
  <c r="F180" i="2"/>
  <c r="F1188" i="2"/>
  <c r="F129" i="2"/>
  <c r="F369" i="2"/>
  <c r="F681" i="2"/>
  <c r="F1222" i="2"/>
  <c r="F1523" i="2"/>
  <c r="F714" i="2"/>
  <c r="F625" i="2"/>
  <c r="F1490" i="2"/>
  <c r="F1606" i="2"/>
  <c r="F95" i="2"/>
  <c r="F303" i="2"/>
  <c r="F1066" i="2"/>
  <c r="F1380" i="2"/>
  <c r="F117" i="2"/>
  <c r="F1435" i="2"/>
  <c r="F1346" i="2"/>
  <c r="F567" i="2"/>
  <c r="F1234" i="2"/>
  <c r="F1302" i="2"/>
  <c r="F817" i="2"/>
  <c r="F1121" i="2"/>
  <c r="F237" i="2"/>
  <c r="F589" i="2"/>
  <c r="F1011" i="2"/>
  <c r="F1313" i="2"/>
  <c r="F336" i="2"/>
  <c r="F402" i="2"/>
  <c r="F446" i="2"/>
  <c r="F1402" i="2"/>
  <c r="F1584" i="2"/>
  <c r="F106" i="2"/>
  <c r="F435" i="2"/>
  <c r="F945" i="2"/>
  <c r="F1595" i="2"/>
  <c r="F424" i="2"/>
  <c r="F578" i="2"/>
  <c r="F534" i="2"/>
  <c r="F1446" i="2"/>
  <c r="F1693" i="2"/>
  <c r="F167" i="2"/>
  <c r="F457" i="2"/>
  <c r="F773" i="2"/>
  <c r="F900" i="2"/>
  <c r="F1269" i="2"/>
  <c r="F512" i="2"/>
  <c r="F692" i="2"/>
  <c r="F1258" i="2"/>
  <c r="F141" i="2"/>
  <c r="F391" i="2"/>
  <c r="F703" i="2"/>
  <c r="F1154" i="2"/>
  <c r="F1457" i="2"/>
  <c r="F866" i="2"/>
  <c r="F1669" i="2"/>
  <c r="F1424" i="2"/>
  <c r="F637" i="2"/>
  <c r="F1682" i="2"/>
  <c r="F749" i="2"/>
  <c r="F1468" i="2"/>
  <c r="F215" i="2"/>
  <c r="F989" i="2"/>
  <c r="F82" i="2"/>
  <c r="F35" i="2"/>
  <c r="F58" i="2"/>
  <c r="F1022" i="2"/>
  <c r="F1280" i="2"/>
  <c r="F358" i="2"/>
  <c r="F1369" i="2"/>
  <c r="F1534" i="2"/>
  <c r="F325" i="2"/>
  <c r="F1088" i="2"/>
  <c r="F490" i="2"/>
  <c r="F648" i="2"/>
  <c r="F380" i="2"/>
  <c r="F844" i="2"/>
  <c r="F761" i="2"/>
  <c r="F1557" i="2"/>
  <c r="F193" i="2"/>
  <c r="F523" i="2"/>
  <c r="F1033" i="2"/>
  <c r="F1335" i="2"/>
  <c r="F1617" i="2"/>
  <c r="F912" i="2"/>
  <c r="F1077" i="2"/>
  <c r="F736" i="2"/>
  <c r="F556" i="2"/>
  <c r="F1000" i="2"/>
  <c r="F787" i="2"/>
  <c r="F545" i="2"/>
  <c r="F803" i="2"/>
  <c r="F967" i="2"/>
  <c r="F1358" i="2"/>
  <c r="F47" i="2"/>
  <c r="F1165" i="2"/>
  <c r="F934" i="2"/>
  <c r="F1143" i="2"/>
  <c r="F154" i="2"/>
  <c r="F1044" i="2"/>
  <c r="F479" i="2"/>
  <c r="F923" i="2"/>
  <c r="F1246" i="2"/>
  <c r="F1545" i="2"/>
  <c r="C35" i="1"/>
  <c r="C19" i="1"/>
  <c r="F24" i="2"/>
  <c r="F10" i="5"/>
  <c r="C23" i="1" l="1"/>
  <c r="C24" i="1"/>
  <c r="C16" i="1"/>
  <c r="C22" i="1"/>
  <c r="C27" i="1"/>
  <c r="C26" i="1"/>
  <c r="C18" i="1"/>
  <c r="C2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0C31A300-6DC5-4FAF-9BD0-E122C6F4307A}">
      <text>
        <r>
          <rPr>
            <sz val="11"/>
            <color theme="1"/>
            <rFont val="Calibri"/>
            <family val="2"/>
            <scheme val="minor"/>
          </rPr>
          <t>Introducir un texto con el nombre o referencia de la contratación</t>
        </r>
      </text>
    </comment>
    <comment ref="B27" authorId="2" shapeId="0" xr:uid="{DC206B40-C5D3-4DA4-A487-1F9E7E068C8F}">
      <text>
        <r>
          <rPr>
            <sz val="11"/>
            <color theme="1"/>
            <rFont val="Calibri"/>
            <family val="2"/>
            <scheme val="minor"/>
          </rPr>
          <t>Introduzca un texto con la finalidad de la contratación</t>
        </r>
      </text>
    </comment>
    <comment ref="C27" authorId="2" shapeId="0" xr:uid="{E3A396F7-1912-4E65-A6A1-CC5D9DF83DC3}">
      <text>
        <r>
          <rPr>
            <sz val="11"/>
            <color theme="1"/>
            <rFont val="Calibri"/>
            <family val="2"/>
            <scheme val="minor"/>
          </rPr>
          <t>Seleccionar un valor del listado</t>
        </r>
      </text>
    </comment>
    <comment ref="D27" authorId="2" shapeId="0" xr:uid="{38E40B07-AC56-4E29-83EC-61F98B7C3BF9}">
      <text>
        <r>
          <rPr>
            <sz val="11"/>
            <color theme="1"/>
            <rFont val="Calibri"/>
            <family val="2"/>
            <scheme val="minor"/>
          </rPr>
          <t>Seleccione el tipo de procedimiento</t>
        </r>
      </text>
    </comment>
    <comment ref="E27" authorId="2" shapeId="0" xr:uid="{498C8AA5-3263-4C51-B79E-C4A6A98056A4}">
      <text>
        <r>
          <rPr>
            <sz val="11"/>
            <color theme="1"/>
            <rFont val="Calibri"/>
            <family val="2"/>
            <scheme val="minor"/>
          </rPr>
          <t>Seleccione un valor de la lista</t>
        </r>
      </text>
    </comment>
    <comment ref="F27" authorId="2" shapeId="0" xr:uid="{1D476F44-9596-44A3-B4F2-7379E53B27F2}">
      <text>
        <r>
          <rPr>
            <sz val="11"/>
            <color theme="1"/>
            <rFont val="Calibri"/>
            <family val="2"/>
            <scheme val="minor"/>
          </rPr>
          <t>Introduzca el código SNIP</t>
        </r>
      </text>
    </comment>
    <comment ref="C28" authorId="2" shapeId="0" xr:uid="{607AD603-E7FE-4047-8487-AB6849D47A04}">
      <text>
        <r>
          <rPr>
            <sz val="11"/>
            <color theme="1"/>
            <rFont val="Calibri"/>
            <family val="2"/>
            <scheme val="minor"/>
          </rPr>
          <t>Introduzca la fecha de inicio del proceso, en formato dd-mm-aaaa</t>
        </r>
      </text>
    </comment>
    <comment ref="F28" authorId="2" shapeId="0" xr:uid="{ED944B8B-28DC-4A5A-82E4-DAEA51276C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1100031C-F264-467F-B7A3-1E72CE489A8B}">
      <text/>
    </comment>
    <comment ref="C30" authorId="2" shapeId="0" xr:uid="{5F422D49-7D18-4E7C-8249-5DD636A9E131}">
      <text>
        <r>
          <rPr>
            <sz val="11"/>
            <color theme="1"/>
            <rFont val="Calibri"/>
            <family val="2"/>
            <scheme val="minor"/>
          </rPr>
          <t>Introduzca la fecha prevista de adjudicación, en formato dd-mm-aaaa</t>
        </r>
      </text>
    </comment>
    <comment ref="F30" authorId="2" shapeId="0" xr:uid="{AB8665DE-04AA-4DFC-8E5E-367361D53485}">
      <text/>
    </comment>
    <comment ref="F31" authorId="2" shapeId="0" xr:uid="{33FBF9CF-AB65-4310-AC22-ED83B038F31E}">
      <text/>
    </comment>
    <comment ref="A33" authorId="2" shapeId="0" xr:uid="{0E9AC5FF-7821-48DB-B945-ECAE6DD0C103}">
      <text>
        <r>
          <rPr>
            <sz val="11"/>
            <color theme="1"/>
            <rFont val="Calibri"/>
            <family val="2"/>
            <scheme val="minor"/>
          </rPr>
          <t>Introduzca un codigo UNSPSC</t>
        </r>
      </text>
    </comment>
    <comment ref="B33" authorId="2" shapeId="0" xr:uid="{2407C49A-8020-4CCE-9BBB-F3310E371349}">
      <text>
        <r>
          <rPr>
            <sz val="11"/>
            <color theme="1"/>
            <rFont val="Calibri"/>
            <family val="2"/>
            <scheme val="minor"/>
          </rPr>
          <t>Descripción calculada automáticamente a partir de código del artículo</t>
        </r>
      </text>
    </comment>
    <comment ref="C33" authorId="2" shapeId="0" xr:uid="{60CEB05C-E8AE-4C25-BF90-90116F2CFA36}">
      <text>
        <r>
          <rPr>
            <sz val="11"/>
            <color theme="1"/>
            <rFont val="Calibri"/>
            <family val="2"/>
            <scheme val="minor"/>
          </rPr>
          <t>Seleccione un valor de la lista</t>
        </r>
      </text>
    </comment>
    <comment ref="D33" authorId="2" shapeId="0" xr:uid="{48ABEBAF-28F1-4489-9F31-5D9D3ACBAFD7}">
      <text>
        <r>
          <rPr>
            <sz val="11"/>
            <color theme="1"/>
            <rFont val="Calibri"/>
            <family val="2"/>
            <scheme val="minor"/>
          </rPr>
          <t>Introduzca un número con dos decimales como máximo. Debe ser igual o mayor a la "Cantidad Real Consumida"</t>
        </r>
      </text>
    </comment>
    <comment ref="E33" authorId="2" shapeId="0" xr:uid="{EC2E5AF1-CE82-4427-AC77-B69599EB861A}">
      <text>
        <r>
          <rPr>
            <sz val="11"/>
            <color theme="1"/>
            <rFont val="Calibri"/>
            <family val="2"/>
            <scheme val="minor"/>
          </rPr>
          <t>Introduzca un número con dos decimales como máximo</t>
        </r>
      </text>
    </comment>
    <comment ref="F33" authorId="2" shapeId="0" xr:uid="{E0F1134B-4B2D-4B10-94E0-A3123C8A2F1C}">
      <text>
        <r>
          <rPr>
            <sz val="11"/>
            <color theme="1"/>
            <rFont val="Calibri"/>
            <family val="2"/>
            <scheme val="minor"/>
          </rPr>
          <t>Monto calculado automáticamente por el sistema</t>
        </r>
      </text>
    </comment>
    <comment ref="A38" authorId="2" shapeId="0" xr:uid="{C5B724E1-8185-4394-B67A-EE868ED6FE51}">
      <text>
        <r>
          <rPr>
            <sz val="11"/>
            <color theme="1"/>
            <rFont val="Calibri"/>
            <family val="2"/>
            <scheme val="minor"/>
          </rPr>
          <t>Introducir un texto con el nombre o referencia de la contratación</t>
        </r>
      </text>
    </comment>
    <comment ref="B38" authorId="2" shapeId="0" xr:uid="{7CAA7E00-3F54-4F3B-B7ED-A6210F245350}">
      <text>
        <r>
          <rPr>
            <sz val="11"/>
            <color theme="1"/>
            <rFont val="Calibri"/>
            <family val="2"/>
            <scheme val="minor"/>
          </rPr>
          <t>Introduzca un texto con la finalidad de la contratación</t>
        </r>
      </text>
    </comment>
    <comment ref="C38" authorId="2" shapeId="0" xr:uid="{217ADA5A-FC35-4D0F-A78D-CA9BFE142F7A}">
      <text>
        <r>
          <rPr>
            <sz val="11"/>
            <color theme="1"/>
            <rFont val="Calibri"/>
            <family val="2"/>
            <scheme val="minor"/>
          </rPr>
          <t>Seleccionar un valor del listado</t>
        </r>
      </text>
    </comment>
    <comment ref="D38" authorId="2" shapeId="0" xr:uid="{AE58AF50-C68A-40DD-99CD-2EB51D135D0A}">
      <text>
        <r>
          <rPr>
            <sz val="11"/>
            <color theme="1"/>
            <rFont val="Calibri"/>
            <family val="2"/>
            <scheme val="minor"/>
          </rPr>
          <t>Seleccione el tipo de procedimiento</t>
        </r>
      </text>
    </comment>
    <comment ref="E38" authorId="2" shapeId="0" xr:uid="{FC47EBAF-4842-4761-9450-B42A3F77AEDF}">
      <text>
        <r>
          <rPr>
            <sz val="11"/>
            <color theme="1"/>
            <rFont val="Calibri"/>
            <family val="2"/>
            <scheme val="minor"/>
          </rPr>
          <t>Seleccione un valor de la lista</t>
        </r>
      </text>
    </comment>
    <comment ref="F38" authorId="2" shapeId="0" xr:uid="{89C59091-189C-4F4D-9CC5-169AD3442323}">
      <text>
        <r>
          <rPr>
            <sz val="11"/>
            <color theme="1"/>
            <rFont val="Calibri"/>
            <family val="2"/>
            <scheme val="minor"/>
          </rPr>
          <t>Introduzca el código SNIP</t>
        </r>
      </text>
    </comment>
    <comment ref="C39" authorId="2" shapeId="0" xr:uid="{C2101AB1-7DCB-43FF-AC4B-9DD339BBBD30}">
      <text>
        <r>
          <rPr>
            <sz val="11"/>
            <color theme="1"/>
            <rFont val="Calibri"/>
            <family val="2"/>
            <scheme val="minor"/>
          </rPr>
          <t>Introduzca la fecha de inicio del proceso, en formato dd-mm-aaaa</t>
        </r>
      </text>
    </comment>
    <comment ref="F39" authorId="2" shapeId="0" xr:uid="{55D40BAE-F42B-4DD7-8E01-07857CA907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8D419394-0FBA-4E6D-91B5-02AE4B879464}">
      <text/>
    </comment>
    <comment ref="C41" authorId="2" shapeId="0" xr:uid="{EDD61F62-1961-46D3-8F04-6E97276C040F}">
      <text>
        <r>
          <rPr>
            <sz val="11"/>
            <color theme="1"/>
            <rFont val="Calibri"/>
            <family val="2"/>
            <scheme val="minor"/>
          </rPr>
          <t>Introduzca la fecha prevista de adjudicación, en formato dd-mm-aaaa</t>
        </r>
      </text>
    </comment>
    <comment ref="F41" authorId="2" shapeId="0" xr:uid="{EAA23B39-BA37-4615-AAF0-71B53F1D8CDC}">
      <text/>
    </comment>
    <comment ref="F42" authorId="2" shapeId="0" xr:uid="{157509B7-AFE2-42B5-B2BF-F1DCCFF46BFB}">
      <text/>
    </comment>
    <comment ref="A44" authorId="2" shapeId="0" xr:uid="{A8E2DA7E-BDD0-47F1-812C-DA76386E1294}">
      <text>
        <r>
          <rPr>
            <sz val="11"/>
            <color theme="1"/>
            <rFont val="Calibri"/>
            <family val="2"/>
            <scheme val="minor"/>
          </rPr>
          <t>Introduzca un codigo UNSPSC</t>
        </r>
      </text>
    </comment>
    <comment ref="B44" authorId="2" shapeId="0" xr:uid="{FB849398-9BA0-48B2-87BD-8F4C643A072F}">
      <text>
        <r>
          <rPr>
            <sz val="11"/>
            <color theme="1"/>
            <rFont val="Calibri"/>
            <family val="2"/>
            <scheme val="minor"/>
          </rPr>
          <t>Descripción calculada automáticamente a partir de código del artículo</t>
        </r>
      </text>
    </comment>
    <comment ref="C44" authorId="2" shapeId="0" xr:uid="{47A75A4E-7ADD-4F07-A58F-0CF29FAB684C}">
      <text>
        <r>
          <rPr>
            <sz val="11"/>
            <color theme="1"/>
            <rFont val="Calibri"/>
            <family val="2"/>
            <scheme val="minor"/>
          </rPr>
          <t>Seleccione un valor de la lista</t>
        </r>
      </text>
    </comment>
    <comment ref="D44" authorId="2" shapeId="0" xr:uid="{2807D206-D533-42B3-A78D-73117D1D3762}">
      <text>
        <r>
          <rPr>
            <sz val="11"/>
            <color theme="1"/>
            <rFont val="Calibri"/>
            <family val="2"/>
            <scheme val="minor"/>
          </rPr>
          <t>Introduzca un número con dos decimales como máximo. Debe ser igual o mayor a la "Cantidad Real Consumida"</t>
        </r>
      </text>
    </comment>
    <comment ref="E44" authorId="2" shapeId="0" xr:uid="{4B9650F3-6026-4E21-A9EC-3B4BC02E7750}">
      <text>
        <r>
          <rPr>
            <sz val="11"/>
            <color theme="1"/>
            <rFont val="Calibri"/>
            <family val="2"/>
            <scheme val="minor"/>
          </rPr>
          <t>Introduzca un número con dos decimales como máximo</t>
        </r>
      </text>
    </comment>
    <comment ref="F44" authorId="2" shapeId="0" xr:uid="{9611606D-DD43-4E80-B226-98A94AE1290F}">
      <text>
        <r>
          <rPr>
            <sz val="11"/>
            <color theme="1"/>
            <rFont val="Calibri"/>
            <family val="2"/>
            <scheme val="minor"/>
          </rPr>
          <t>Monto calculado automáticamente por el sistema</t>
        </r>
      </text>
    </comment>
    <comment ref="A50" authorId="2" shapeId="0" xr:uid="{5EE22FFE-0C4D-4FC8-AB95-00BA326BA2F9}">
      <text>
        <r>
          <rPr>
            <sz val="11"/>
            <color theme="1"/>
            <rFont val="Calibri"/>
            <family val="2"/>
            <scheme val="minor"/>
          </rPr>
          <t>Introducir un texto con el nombre o referencia de la contratación</t>
        </r>
      </text>
    </comment>
    <comment ref="B50" authorId="2" shapeId="0" xr:uid="{7E5E7EEE-81D5-4A72-B10B-A02947C74368}">
      <text>
        <r>
          <rPr>
            <sz val="11"/>
            <color theme="1"/>
            <rFont val="Calibri"/>
            <family val="2"/>
            <scheme val="minor"/>
          </rPr>
          <t>Introduzca un texto con la finalidad de la contratación</t>
        </r>
      </text>
    </comment>
    <comment ref="C50" authorId="2" shapeId="0" xr:uid="{33AB75CE-53BE-4207-8638-DB44FB711461}">
      <text>
        <r>
          <rPr>
            <sz val="11"/>
            <color theme="1"/>
            <rFont val="Calibri"/>
            <family val="2"/>
            <scheme val="minor"/>
          </rPr>
          <t>Seleccionar un valor del listado</t>
        </r>
      </text>
    </comment>
    <comment ref="D50" authorId="2" shapeId="0" xr:uid="{7BACCE58-0E5F-463C-89F0-73AADE46287C}">
      <text>
        <r>
          <rPr>
            <sz val="11"/>
            <color theme="1"/>
            <rFont val="Calibri"/>
            <family val="2"/>
            <scheme val="minor"/>
          </rPr>
          <t>Seleccione el tipo de procedimiento</t>
        </r>
      </text>
    </comment>
    <comment ref="E50" authorId="2" shapeId="0" xr:uid="{8B2B0FA5-A8BE-4325-9210-01CB48D19E7D}">
      <text>
        <r>
          <rPr>
            <sz val="11"/>
            <color theme="1"/>
            <rFont val="Calibri"/>
            <family val="2"/>
            <scheme val="minor"/>
          </rPr>
          <t>Seleccione un valor de la lista</t>
        </r>
      </text>
    </comment>
    <comment ref="F50" authorId="2" shapeId="0" xr:uid="{A0D132B8-9E2C-4CBC-81EB-64E8AB2153AD}">
      <text>
        <r>
          <rPr>
            <sz val="11"/>
            <color theme="1"/>
            <rFont val="Calibri"/>
            <family val="2"/>
            <scheme val="minor"/>
          </rPr>
          <t>Introduzca el código SNIP</t>
        </r>
      </text>
    </comment>
    <comment ref="C51" authorId="2" shapeId="0" xr:uid="{189A7F14-67C4-4310-AE4A-30DB4D638528}">
      <text>
        <r>
          <rPr>
            <sz val="11"/>
            <color theme="1"/>
            <rFont val="Calibri"/>
            <family val="2"/>
            <scheme val="minor"/>
          </rPr>
          <t>Introduzca la fecha de inicio del proceso, en formato dd-mm-aaaa</t>
        </r>
      </text>
    </comment>
    <comment ref="F51" authorId="2" shapeId="0" xr:uid="{5EFA6D5D-6FF4-406E-9337-2C3C3F6557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xr:uid="{02212460-3B81-401D-9DBA-A75D328AAFA9}">
      <text/>
    </comment>
    <comment ref="C53" authorId="2" shapeId="0" xr:uid="{1ECF4A79-907B-49C0-828C-CBF969B2C897}">
      <text>
        <r>
          <rPr>
            <sz val="11"/>
            <color theme="1"/>
            <rFont val="Calibri"/>
            <family val="2"/>
            <scheme val="minor"/>
          </rPr>
          <t>Introduzca la fecha prevista de adjudicación, en formato dd-mm-aaaa</t>
        </r>
      </text>
    </comment>
    <comment ref="F53" authorId="2" shapeId="0" xr:uid="{5AA5941E-22C6-4035-816D-8BFC7BEBE284}">
      <text/>
    </comment>
    <comment ref="F54" authorId="2" shapeId="0" xr:uid="{CFB2A841-3645-4648-8BFF-192E8D8EBB63}">
      <text/>
    </comment>
    <comment ref="A56" authorId="2" shapeId="0" xr:uid="{38E71412-C8F9-475F-B6CB-4BD16E70A651}">
      <text>
        <r>
          <rPr>
            <sz val="11"/>
            <color theme="1"/>
            <rFont val="Calibri"/>
            <family val="2"/>
            <scheme val="minor"/>
          </rPr>
          <t>Introduzca un codigo UNSPSC</t>
        </r>
      </text>
    </comment>
    <comment ref="B56" authorId="2" shapeId="0" xr:uid="{9971475E-8178-4421-80BE-08C9A4290291}">
      <text>
        <r>
          <rPr>
            <sz val="11"/>
            <color theme="1"/>
            <rFont val="Calibri"/>
            <family val="2"/>
            <scheme val="minor"/>
          </rPr>
          <t>Descripción calculada automáticamente a partir de código del artículo</t>
        </r>
      </text>
    </comment>
    <comment ref="C56" authorId="2" shapeId="0" xr:uid="{8909072D-6937-4E9F-8650-F175CF904678}">
      <text>
        <r>
          <rPr>
            <sz val="11"/>
            <color theme="1"/>
            <rFont val="Calibri"/>
            <family val="2"/>
            <scheme val="minor"/>
          </rPr>
          <t>Seleccione un valor de la lista</t>
        </r>
      </text>
    </comment>
    <comment ref="D56" authorId="2" shapeId="0" xr:uid="{AB7DA853-583D-42D5-81A3-4A354D2C287F}">
      <text>
        <r>
          <rPr>
            <sz val="11"/>
            <color theme="1"/>
            <rFont val="Calibri"/>
            <family val="2"/>
            <scheme val="minor"/>
          </rPr>
          <t>Introduzca un número con dos decimales como máximo. Debe ser igual o mayor a la "Cantidad Real Consumida"</t>
        </r>
      </text>
    </comment>
    <comment ref="E56" authorId="2" shapeId="0" xr:uid="{C7151AFF-7F8B-4352-BC56-6321AD6FFE2A}">
      <text>
        <r>
          <rPr>
            <sz val="11"/>
            <color theme="1"/>
            <rFont val="Calibri"/>
            <family val="2"/>
            <scheme val="minor"/>
          </rPr>
          <t>Introduzca un número con dos decimales como máximo</t>
        </r>
      </text>
    </comment>
    <comment ref="F56" authorId="2" shapeId="0" xr:uid="{05D14F79-932C-4424-94B8-293EE44EEFAA}">
      <text>
        <r>
          <rPr>
            <sz val="11"/>
            <color theme="1"/>
            <rFont val="Calibri"/>
            <family val="2"/>
            <scheme val="minor"/>
          </rPr>
          <t>Monto calculado automáticamente por el sistema</t>
        </r>
      </text>
    </comment>
    <comment ref="A61" authorId="2" shapeId="0" xr:uid="{65631B8A-CE85-4572-A29B-CE978F151E67}">
      <text>
        <r>
          <rPr>
            <sz val="11"/>
            <color theme="1"/>
            <rFont val="Calibri"/>
            <family val="2"/>
            <scheme val="minor"/>
          </rPr>
          <t>Introducir un texto con el nombre o referencia de la contratación</t>
        </r>
      </text>
    </comment>
    <comment ref="B61" authorId="2" shapeId="0" xr:uid="{A6F4EF09-3DB9-49E4-BC7D-CE82A01F1421}">
      <text>
        <r>
          <rPr>
            <sz val="11"/>
            <color theme="1"/>
            <rFont val="Calibri"/>
            <family val="2"/>
            <scheme val="minor"/>
          </rPr>
          <t>Introduzca un texto con la finalidad de la contratación</t>
        </r>
      </text>
    </comment>
    <comment ref="C61" authorId="2" shapeId="0" xr:uid="{68F90F0C-8F25-48C0-ABED-BC2D27A14D9F}">
      <text>
        <r>
          <rPr>
            <sz val="11"/>
            <color theme="1"/>
            <rFont val="Calibri"/>
            <family val="2"/>
            <scheme val="minor"/>
          </rPr>
          <t>Seleccionar un valor del listado</t>
        </r>
      </text>
    </comment>
    <comment ref="D61" authorId="2" shapeId="0" xr:uid="{37CC7C6C-C534-4055-8C36-5426C07E8A64}">
      <text>
        <r>
          <rPr>
            <sz val="11"/>
            <color theme="1"/>
            <rFont val="Calibri"/>
            <family val="2"/>
            <scheme val="minor"/>
          </rPr>
          <t>Seleccione el tipo de procedimiento</t>
        </r>
      </text>
    </comment>
    <comment ref="E61" authorId="2" shapeId="0" xr:uid="{FE4657CE-F61D-40B8-A651-C9D0D72D9F67}">
      <text>
        <r>
          <rPr>
            <sz val="11"/>
            <color theme="1"/>
            <rFont val="Calibri"/>
            <family val="2"/>
            <scheme val="minor"/>
          </rPr>
          <t>Seleccione un valor de la lista</t>
        </r>
      </text>
    </comment>
    <comment ref="F61" authorId="2" shapeId="0" xr:uid="{43693EC6-5809-42BC-99B8-9542C6509E3B}">
      <text>
        <r>
          <rPr>
            <sz val="11"/>
            <color theme="1"/>
            <rFont val="Calibri"/>
            <family val="2"/>
            <scheme val="minor"/>
          </rPr>
          <t>Introduzca el código SNIP</t>
        </r>
      </text>
    </comment>
    <comment ref="C62" authorId="2" shapeId="0" xr:uid="{BF84D4FE-D22A-4F6D-9ECE-A78036BDE142}">
      <text>
        <r>
          <rPr>
            <sz val="11"/>
            <color theme="1"/>
            <rFont val="Calibri"/>
            <family val="2"/>
            <scheme val="minor"/>
          </rPr>
          <t>Introduzca la fecha de inicio del proceso, en formato dd-mm-aaaa</t>
        </r>
      </text>
    </comment>
    <comment ref="F62" authorId="2" shapeId="0" xr:uid="{6ABCBABE-E1D4-43DD-B1F2-F49B43020C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2" shapeId="0" xr:uid="{49070B5E-D73A-4D7C-A3A3-68543BBC4352}">
      <text/>
    </comment>
    <comment ref="C64" authorId="2" shapeId="0" xr:uid="{0121365A-A359-4A01-B41C-92BEA06214BB}">
      <text>
        <r>
          <rPr>
            <sz val="11"/>
            <color theme="1"/>
            <rFont val="Calibri"/>
            <family val="2"/>
            <scheme val="minor"/>
          </rPr>
          <t>Introduzca la fecha prevista de adjudicación, en formato dd-mm-aaaa</t>
        </r>
      </text>
    </comment>
    <comment ref="F64" authorId="2" shapeId="0" xr:uid="{C0BDC222-90AC-4C19-80E2-934D56BBB73D}">
      <text/>
    </comment>
    <comment ref="F65" authorId="2" shapeId="0" xr:uid="{F5CA6703-3EFD-4699-A1A2-972CF0F5603B}">
      <text/>
    </comment>
    <comment ref="A67" authorId="2" shapeId="0" xr:uid="{D59C2986-3A6E-4494-AABA-96B4E70B060D}">
      <text>
        <r>
          <rPr>
            <sz val="11"/>
            <color theme="1"/>
            <rFont val="Calibri"/>
            <family val="2"/>
            <scheme val="minor"/>
          </rPr>
          <t>Introduzca un codigo UNSPSC</t>
        </r>
      </text>
    </comment>
    <comment ref="B67" authorId="2" shapeId="0" xr:uid="{7EC5E6D7-D9AC-4C67-8A71-13F70B0F377C}">
      <text>
        <r>
          <rPr>
            <sz val="11"/>
            <color theme="1"/>
            <rFont val="Calibri"/>
            <family val="2"/>
            <scheme val="minor"/>
          </rPr>
          <t>Descripción calculada automáticamente a partir de código del artículo</t>
        </r>
      </text>
    </comment>
    <comment ref="C67" authorId="2" shapeId="0" xr:uid="{FC818414-3C3A-4FF8-BD28-25F1AC62EEB9}">
      <text>
        <r>
          <rPr>
            <sz val="11"/>
            <color theme="1"/>
            <rFont val="Calibri"/>
            <family val="2"/>
            <scheme val="minor"/>
          </rPr>
          <t>Seleccione un valor de la lista</t>
        </r>
      </text>
    </comment>
    <comment ref="D67" authorId="2" shapeId="0" xr:uid="{A58C5BC8-E56A-4176-82EA-523C6EFB709C}">
      <text>
        <r>
          <rPr>
            <sz val="11"/>
            <color theme="1"/>
            <rFont val="Calibri"/>
            <family val="2"/>
            <scheme val="minor"/>
          </rPr>
          <t>Introduzca un número con dos decimales como máximo. Debe ser igual o mayor a la "Cantidad Real Consumida"</t>
        </r>
      </text>
    </comment>
    <comment ref="E67" authorId="2" shapeId="0" xr:uid="{AF3AA7BE-D6EA-4159-B6FD-4EBD0B709E99}">
      <text>
        <r>
          <rPr>
            <sz val="11"/>
            <color theme="1"/>
            <rFont val="Calibri"/>
            <family val="2"/>
            <scheme val="minor"/>
          </rPr>
          <t>Introduzca un número con dos decimales como máximo</t>
        </r>
      </text>
    </comment>
    <comment ref="F67" authorId="2" shapeId="0" xr:uid="{94674240-CCEA-4DDA-A5A6-C43E4704243F}">
      <text>
        <r>
          <rPr>
            <sz val="11"/>
            <color theme="1"/>
            <rFont val="Calibri"/>
            <family val="2"/>
            <scheme val="minor"/>
          </rPr>
          <t>Monto calculado automáticamente por el sistema</t>
        </r>
      </text>
    </comment>
    <comment ref="A72" authorId="2" shapeId="0" xr:uid="{790EFCF8-09A6-4190-A2FE-8D975BEA92CA}">
      <text>
        <r>
          <rPr>
            <sz val="11"/>
            <color theme="1"/>
            <rFont val="Calibri"/>
            <family val="2"/>
            <scheme val="minor"/>
          </rPr>
          <t>Introducir un texto con el nombre o referencia de la contratación</t>
        </r>
      </text>
    </comment>
    <comment ref="B72" authorId="2" shapeId="0" xr:uid="{2CC73396-6751-4ECD-B2E1-00F447B90E7C}">
      <text>
        <r>
          <rPr>
            <sz val="11"/>
            <color theme="1"/>
            <rFont val="Calibri"/>
            <family val="2"/>
            <scheme val="minor"/>
          </rPr>
          <t>Introduzca un texto con la finalidad de la contratación</t>
        </r>
      </text>
    </comment>
    <comment ref="C72" authorId="2" shapeId="0" xr:uid="{F1D2FFE7-B4F2-44F9-BBC0-288AC672729C}">
      <text>
        <r>
          <rPr>
            <sz val="11"/>
            <color theme="1"/>
            <rFont val="Calibri"/>
            <family val="2"/>
            <scheme val="minor"/>
          </rPr>
          <t>Seleccionar un valor del listado</t>
        </r>
      </text>
    </comment>
    <comment ref="D72" authorId="2" shapeId="0" xr:uid="{47B4DBE7-5ABC-4F91-B617-86DE889A0475}">
      <text>
        <r>
          <rPr>
            <sz val="11"/>
            <color theme="1"/>
            <rFont val="Calibri"/>
            <family val="2"/>
            <scheme val="minor"/>
          </rPr>
          <t>Seleccione el tipo de procedimiento</t>
        </r>
      </text>
    </comment>
    <comment ref="E72" authorId="2" shapeId="0" xr:uid="{03292F55-6F76-4AF9-8B5A-C55B78E47DEE}">
      <text>
        <r>
          <rPr>
            <sz val="11"/>
            <color theme="1"/>
            <rFont val="Calibri"/>
            <family val="2"/>
            <scheme val="minor"/>
          </rPr>
          <t>Seleccione un valor de la lista</t>
        </r>
      </text>
    </comment>
    <comment ref="F72" authorId="2" shapeId="0" xr:uid="{E2206E31-7D1C-4E47-B866-280ADA969D7A}">
      <text>
        <r>
          <rPr>
            <sz val="11"/>
            <color theme="1"/>
            <rFont val="Calibri"/>
            <family val="2"/>
            <scheme val="minor"/>
          </rPr>
          <t>Introduzca el código SNIP</t>
        </r>
      </text>
    </comment>
    <comment ref="C73" authorId="2" shapeId="0" xr:uid="{DC505406-8A9A-48A9-9651-A06A5F4E6212}">
      <text>
        <r>
          <rPr>
            <sz val="11"/>
            <color theme="1"/>
            <rFont val="Calibri"/>
            <family val="2"/>
            <scheme val="minor"/>
          </rPr>
          <t>Introduzca la fecha de inicio del proceso, en formato dd-mm-aaaa</t>
        </r>
      </text>
    </comment>
    <comment ref="F73" authorId="2" shapeId="0" xr:uid="{A3590F33-0832-47FE-A6A3-A16FEA26EB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5AC97F63-2720-4A8D-A5B2-9FE176096C5D}">
      <text/>
    </comment>
    <comment ref="C75" authorId="2" shapeId="0" xr:uid="{BB380921-A4D0-4867-A015-763AD9E17680}">
      <text>
        <r>
          <rPr>
            <sz val="11"/>
            <color theme="1"/>
            <rFont val="Calibri"/>
            <family val="2"/>
            <scheme val="minor"/>
          </rPr>
          <t>Introduzca la fecha prevista de adjudicación, en formato dd-mm-aaaa</t>
        </r>
      </text>
    </comment>
    <comment ref="F75" authorId="2" shapeId="0" xr:uid="{2DAD43A2-3132-41B3-98BC-43BF4954EA38}">
      <text/>
    </comment>
    <comment ref="F76" authorId="2" shapeId="0" xr:uid="{564A7429-5FE8-4975-9A4D-0D1DBD426E67}">
      <text/>
    </comment>
    <comment ref="A78" authorId="2" shapeId="0" xr:uid="{20F23924-D724-46A4-9182-ADC37E9D18FD}">
      <text>
        <r>
          <rPr>
            <sz val="11"/>
            <color theme="1"/>
            <rFont val="Calibri"/>
            <family val="2"/>
            <scheme val="minor"/>
          </rPr>
          <t>Introduzca un codigo UNSPSC</t>
        </r>
      </text>
    </comment>
    <comment ref="B78" authorId="2" shapeId="0" xr:uid="{97A7B8F7-AC47-4372-8262-4B84E395DA01}">
      <text>
        <r>
          <rPr>
            <sz val="11"/>
            <color theme="1"/>
            <rFont val="Calibri"/>
            <family val="2"/>
            <scheme val="minor"/>
          </rPr>
          <t>Descripción calculada automáticamente a partir de código del artículo</t>
        </r>
      </text>
    </comment>
    <comment ref="C78" authorId="2" shapeId="0" xr:uid="{9BBD5C00-5AF3-40C9-9108-3E8CED2E351D}">
      <text>
        <r>
          <rPr>
            <sz val="11"/>
            <color theme="1"/>
            <rFont val="Calibri"/>
            <family val="2"/>
            <scheme val="minor"/>
          </rPr>
          <t>Seleccione un valor de la lista</t>
        </r>
      </text>
    </comment>
    <comment ref="D78" authorId="2" shapeId="0" xr:uid="{10AB328B-6B33-4449-8BD5-1AD87579810A}">
      <text>
        <r>
          <rPr>
            <sz val="11"/>
            <color theme="1"/>
            <rFont val="Calibri"/>
            <family val="2"/>
            <scheme val="minor"/>
          </rPr>
          <t>Introduzca un número con dos decimales como máximo. Debe ser igual o mayor a la "Cantidad Real Consumida"</t>
        </r>
      </text>
    </comment>
    <comment ref="E78" authorId="2" shapeId="0" xr:uid="{E7E77440-F1CE-4E17-A633-B759ED175244}">
      <text>
        <r>
          <rPr>
            <sz val="11"/>
            <color theme="1"/>
            <rFont val="Calibri"/>
            <family val="2"/>
            <scheme val="minor"/>
          </rPr>
          <t>Introduzca un número con dos decimales como máximo</t>
        </r>
      </text>
    </comment>
    <comment ref="F78" authorId="2" shapeId="0" xr:uid="{79A7607F-0865-44D7-A998-B0A3BD0C9C1E}">
      <text>
        <r>
          <rPr>
            <sz val="11"/>
            <color theme="1"/>
            <rFont val="Calibri"/>
            <family val="2"/>
            <scheme val="minor"/>
          </rPr>
          <t>Monto calculado automáticamente por el sistema</t>
        </r>
      </text>
    </comment>
    <comment ref="A85" authorId="2" shapeId="0" xr:uid="{178FEA00-89F4-41DA-B5FA-CC292C20C5EE}">
      <text>
        <r>
          <rPr>
            <sz val="11"/>
            <color theme="1"/>
            <rFont val="Calibri"/>
            <family val="2"/>
            <scheme val="minor"/>
          </rPr>
          <t>Introducir un texto con el nombre o referencia de la contratación</t>
        </r>
      </text>
    </comment>
    <comment ref="B85" authorId="2" shapeId="0" xr:uid="{CF361E1C-B64A-456F-81DE-B50587EC8970}">
      <text>
        <r>
          <rPr>
            <sz val="11"/>
            <color theme="1"/>
            <rFont val="Calibri"/>
            <family val="2"/>
            <scheme val="minor"/>
          </rPr>
          <t>Introduzca un texto con la finalidad de la contratación</t>
        </r>
      </text>
    </comment>
    <comment ref="C85" authorId="2" shapeId="0" xr:uid="{17DDF8C6-2530-499E-A1D4-AA15AC6137B0}">
      <text>
        <r>
          <rPr>
            <sz val="11"/>
            <color theme="1"/>
            <rFont val="Calibri"/>
            <family val="2"/>
            <scheme val="minor"/>
          </rPr>
          <t>Seleccionar un valor del listado</t>
        </r>
      </text>
    </comment>
    <comment ref="D85" authorId="2" shapeId="0" xr:uid="{BFE5882E-E82F-4EFC-B281-D89859434C83}">
      <text>
        <r>
          <rPr>
            <sz val="11"/>
            <color theme="1"/>
            <rFont val="Calibri"/>
            <family val="2"/>
            <scheme val="minor"/>
          </rPr>
          <t>Seleccione el tipo de procedimiento</t>
        </r>
      </text>
    </comment>
    <comment ref="E85" authorId="2" shapeId="0" xr:uid="{E17FE165-F412-4E2C-9C0E-3C7624A2BD12}">
      <text>
        <r>
          <rPr>
            <sz val="11"/>
            <color theme="1"/>
            <rFont val="Calibri"/>
            <family val="2"/>
            <scheme val="minor"/>
          </rPr>
          <t>Seleccione un valor de la lista</t>
        </r>
      </text>
    </comment>
    <comment ref="F85" authorId="2" shapeId="0" xr:uid="{FA9580A1-68B5-458B-AC11-87EA6857E31F}">
      <text>
        <r>
          <rPr>
            <sz val="11"/>
            <color theme="1"/>
            <rFont val="Calibri"/>
            <family val="2"/>
            <scheme val="minor"/>
          </rPr>
          <t>Introduzca el código SNIP</t>
        </r>
      </text>
    </comment>
    <comment ref="C86" authorId="2" shapeId="0" xr:uid="{EDBC032F-B954-4652-9DAC-DC2143736649}">
      <text>
        <r>
          <rPr>
            <sz val="11"/>
            <color theme="1"/>
            <rFont val="Calibri"/>
            <family val="2"/>
            <scheme val="minor"/>
          </rPr>
          <t>Introduzca la fecha de inicio del proceso, en formato dd-mm-aaaa</t>
        </r>
      </text>
    </comment>
    <comment ref="F86" authorId="2" shapeId="0" xr:uid="{EE519CC0-0F05-4D10-A9DE-9E1749E214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xr:uid="{217D7E1C-CEB3-497E-90B1-6EB8557B695E}">
      <text/>
    </comment>
    <comment ref="C88" authorId="2" shapeId="0" xr:uid="{FF653AB4-D845-4918-8900-26FD19F95390}">
      <text>
        <r>
          <rPr>
            <sz val="11"/>
            <color theme="1"/>
            <rFont val="Calibri"/>
            <family val="2"/>
            <scheme val="minor"/>
          </rPr>
          <t>Introduzca la fecha prevista de adjudicación, en formato dd-mm-aaaa</t>
        </r>
      </text>
    </comment>
    <comment ref="F88" authorId="2" shapeId="0" xr:uid="{71C17F82-02CE-4140-9B5A-A692C73123B6}">
      <text/>
    </comment>
    <comment ref="F89" authorId="2" shapeId="0" xr:uid="{FEEFA08A-8848-4C98-8466-0349F683C2DF}">
      <text/>
    </comment>
    <comment ref="A91" authorId="2" shapeId="0" xr:uid="{487B2B8E-A744-491F-B682-08B25A2FC0EE}">
      <text>
        <r>
          <rPr>
            <sz val="11"/>
            <color theme="1"/>
            <rFont val="Calibri"/>
            <family val="2"/>
            <scheme val="minor"/>
          </rPr>
          <t>Introduzca un codigo UNSPSC</t>
        </r>
      </text>
    </comment>
    <comment ref="B91" authorId="2" shapeId="0" xr:uid="{938A223C-5AA7-49F9-8E95-64EE3ABAF724}">
      <text>
        <r>
          <rPr>
            <sz val="11"/>
            <color theme="1"/>
            <rFont val="Calibri"/>
            <family val="2"/>
            <scheme val="minor"/>
          </rPr>
          <t>Descripción calculada automáticamente a partir de código del artículo</t>
        </r>
      </text>
    </comment>
    <comment ref="C91" authorId="2" shapeId="0" xr:uid="{CF49B24E-49B6-4E0C-B41B-5C618CED9CD3}">
      <text>
        <r>
          <rPr>
            <sz val="11"/>
            <color theme="1"/>
            <rFont val="Calibri"/>
            <family val="2"/>
            <scheme val="minor"/>
          </rPr>
          <t>Seleccione un valor de la lista</t>
        </r>
      </text>
    </comment>
    <comment ref="D91" authorId="2" shapeId="0" xr:uid="{C50411A6-5E49-48A7-88B8-44391E2EE400}">
      <text>
        <r>
          <rPr>
            <sz val="11"/>
            <color theme="1"/>
            <rFont val="Calibri"/>
            <family val="2"/>
            <scheme val="minor"/>
          </rPr>
          <t>Introduzca un número con dos decimales como máximo. Debe ser igual o mayor a la "Cantidad Real Consumida"</t>
        </r>
      </text>
    </comment>
    <comment ref="E91" authorId="2" shapeId="0" xr:uid="{94CD2B5B-6D99-41EB-8B99-85807BC0117D}">
      <text>
        <r>
          <rPr>
            <sz val="11"/>
            <color theme="1"/>
            <rFont val="Calibri"/>
            <family val="2"/>
            <scheme val="minor"/>
          </rPr>
          <t>Introduzca un número con dos decimales como máximo</t>
        </r>
      </text>
    </comment>
    <comment ref="F91" authorId="2" shapeId="0" xr:uid="{FB873012-F307-467A-AB94-1B8EE455EDDF}">
      <text>
        <r>
          <rPr>
            <sz val="11"/>
            <color theme="1"/>
            <rFont val="Calibri"/>
            <family val="2"/>
            <scheme val="minor"/>
          </rPr>
          <t>Monto calculado automáticamente por el sistema</t>
        </r>
      </text>
    </comment>
    <comment ref="A98" authorId="2" shapeId="0" xr:uid="{31F9F7EB-E6B9-441B-A05B-753FE75E4668}">
      <text>
        <r>
          <rPr>
            <sz val="11"/>
            <color theme="1"/>
            <rFont val="Calibri"/>
            <family val="2"/>
            <scheme val="minor"/>
          </rPr>
          <t>Introducir un texto con el nombre o referencia de la contratación</t>
        </r>
      </text>
    </comment>
    <comment ref="B98" authorId="2" shapeId="0" xr:uid="{FF46384F-7E43-4347-8440-CDCBBC9A56E5}">
      <text>
        <r>
          <rPr>
            <sz val="11"/>
            <color theme="1"/>
            <rFont val="Calibri"/>
            <family val="2"/>
            <scheme val="minor"/>
          </rPr>
          <t>Introduzca un texto con la finalidad de la contratación</t>
        </r>
      </text>
    </comment>
    <comment ref="C98" authorId="2" shapeId="0" xr:uid="{01494853-5A06-4DF1-86BA-EA6E21DAB358}">
      <text>
        <r>
          <rPr>
            <sz val="11"/>
            <color theme="1"/>
            <rFont val="Calibri"/>
            <family val="2"/>
            <scheme val="minor"/>
          </rPr>
          <t>Seleccionar un valor del listado</t>
        </r>
      </text>
    </comment>
    <comment ref="D98" authorId="2" shapeId="0" xr:uid="{DEDEDDF4-6C0F-4550-89AB-32EBC21AF8FC}">
      <text>
        <r>
          <rPr>
            <sz val="11"/>
            <color theme="1"/>
            <rFont val="Calibri"/>
            <family val="2"/>
            <scheme val="minor"/>
          </rPr>
          <t>Seleccione el tipo de procedimiento</t>
        </r>
      </text>
    </comment>
    <comment ref="E98" authorId="2" shapeId="0" xr:uid="{6220EC7D-E936-4D86-ACFB-32F52C4F0F50}">
      <text>
        <r>
          <rPr>
            <sz val="11"/>
            <color theme="1"/>
            <rFont val="Calibri"/>
            <family val="2"/>
            <scheme val="minor"/>
          </rPr>
          <t>Seleccione un valor de la lista</t>
        </r>
      </text>
    </comment>
    <comment ref="F98" authorId="2" shapeId="0" xr:uid="{6BF6B2AD-C030-4EDC-BE77-F3DA60174948}">
      <text>
        <r>
          <rPr>
            <sz val="11"/>
            <color theme="1"/>
            <rFont val="Calibri"/>
            <family val="2"/>
            <scheme val="minor"/>
          </rPr>
          <t>Introduzca el código SNIP</t>
        </r>
      </text>
    </comment>
    <comment ref="C99" authorId="2" shapeId="0" xr:uid="{26259DE8-D1C3-45BA-AEEB-14B9EE79F591}">
      <text>
        <r>
          <rPr>
            <sz val="11"/>
            <color theme="1"/>
            <rFont val="Calibri"/>
            <family val="2"/>
            <scheme val="minor"/>
          </rPr>
          <t>Introduzca la fecha de inicio del proceso, en formato dd-mm-aaaa</t>
        </r>
      </text>
    </comment>
    <comment ref="F99" authorId="2" shapeId="0" xr:uid="{4F65F2C3-065A-4C24-A2BE-7F43C6714B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2" shapeId="0" xr:uid="{6CFBF634-72BD-4B52-A1D1-F8547E63B1D4}">
      <text/>
    </comment>
    <comment ref="C101" authorId="2" shapeId="0" xr:uid="{D0FFF098-44AD-462A-AA35-75FD5870B95E}">
      <text>
        <r>
          <rPr>
            <sz val="11"/>
            <color theme="1"/>
            <rFont val="Calibri"/>
            <family val="2"/>
            <scheme val="minor"/>
          </rPr>
          <t>Introduzca la fecha prevista de adjudicación, en formato dd-mm-aaaa</t>
        </r>
      </text>
    </comment>
    <comment ref="F101" authorId="2" shapeId="0" xr:uid="{2DD2D138-A15A-41A7-8742-E7F8DF42BA20}">
      <text/>
    </comment>
    <comment ref="F102" authorId="2" shapeId="0" xr:uid="{98E12771-4DB1-451E-9030-8B0C8E242CA0}">
      <text/>
    </comment>
    <comment ref="A104" authorId="2" shapeId="0" xr:uid="{B3D20526-6F8E-4967-A501-3586ED0D2102}">
      <text>
        <r>
          <rPr>
            <sz val="11"/>
            <color theme="1"/>
            <rFont val="Calibri"/>
            <family val="2"/>
            <scheme val="minor"/>
          </rPr>
          <t>Introduzca un codigo UNSPSC</t>
        </r>
      </text>
    </comment>
    <comment ref="B104" authorId="2" shapeId="0" xr:uid="{D4A9A701-C98E-4040-8F35-B2A3836427BC}">
      <text>
        <r>
          <rPr>
            <sz val="11"/>
            <color theme="1"/>
            <rFont val="Calibri"/>
            <family val="2"/>
            <scheme val="minor"/>
          </rPr>
          <t>Descripción calculada automáticamente a partir de código del artículo</t>
        </r>
      </text>
    </comment>
    <comment ref="C104" authorId="2" shapeId="0" xr:uid="{115A0AEF-3D31-4E20-9D84-3BFF5533C11D}">
      <text>
        <r>
          <rPr>
            <sz val="11"/>
            <color theme="1"/>
            <rFont val="Calibri"/>
            <family val="2"/>
            <scheme val="minor"/>
          </rPr>
          <t>Seleccione un valor de la lista</t>
        </r>
      </text>
    </comment>
    <comment ref="D104" authorId="2" shapeId="0" xr:uid="{884AAA8E-BA6A-4E00-B068-0A0E75B3283E}">
      <text>
        <r>
          <rPr>
            <sz val="11"/>
            <color theme="1"/>
            <rFont val="Calibri"/>
            <family val="2"/>
            <scheme val="minor"/>
          </rPr>
          <t>Introduzca un número con dos decimales como máximo. Debe ser igual o mayor a la "Cantidad Real Consumida"</t>
        </r>
      </text>
    </comment>
    <comment ref="E104" authorId="2" shapeId="0" xr:uid="{14CA97EF-D204-4D29-B988-8940E072EA66}">
      <text>
        <r>
          <rPr>
            <sz val="11"/>
            <color theme="1"/>
            <rFont val="Calibri"/>
            <family val="2"/>
            <scheme val="minor"/>
          </rPr>
          <t>Introduzca un número con dos decimales como máximo</t>
        </r>
      </text>
    </comment>
    <comment ref="F104" authorId="2" shapeId="0" xr:uid="{D92961B4-2AB2-40CE-8D7B-6F19439F7E22}">
      <text>
        <r>
          <rPr>
            <sz val="11"/>
            <color theme="1"/>
            <rFont val="Calibri"/>
            <family val="2"/>
            <scheme val="minor"/>
          </rPr>
          <t>Monto calculado automáticamente por el sistema</t>
        </r>
      </text>
    </comment>
    <comment ref="A109" authorId="2" shapeId="0" xr:uid="{171161AE-B15B-47A8-9575-C26BA74CC2F1}">
      <text>
        <r>
          <rPr>
            <sz val="11"/>
            <color theme="1"/>
            <rFont val="Calibri"/>
            <family val="2"/>
            <scheme val="minor"/>
          </rPr>
          <t>Introducir un texto con el nombre o referencia de la contratación</t>
        </r>
      </text>
    </comment>
    <comment ref="B109" authorId="2" shapeId="0" xr:uid="{6734CC96-5AFA-4887-8C1C-CC79121FE007}">
      <text>
        <r>
          <rPr>
            <sz val="11"/>
            <color theme="1"/>
            <rFont val="Calibri"/>
            <family val="2"/>
            <scheme val="minor"/>
          </rPr>
          <t>Introduzca un texto con la finalidad de la contratación</t>
        </r>
      </text>
    </comment>
    <comment ref="C109" authorId="2" shapeId="0" xr:uid="{407BB4EB-2D83-4510-A82F-108B960349AB}">
      <text>
        <r>
          <rPr>
            <sz val="11"/>
            <color theme="1"/>
            <rFont val="Calibri"/>
            <family val="2"/>
            <scheme val="minor"/>
          </rPr>
          <t>Seleccionar un valor del listado</t>
        </r>
      </text>
    </comment>
    <comment ref="D109" authorId="2" shapeId="0" xr:uid="{90C969DD-929F-4437-85CF-ACD9F4249079}">
      <text>
        <r>
          <rPr>
            <sz val="11"/>
            <color theme="1"/>
            <rFont val="Calibri"/>
            <family val="2"/>
            <scheme val="minor"/>
          </rPr>
          <t>Seleccione el tipo de procedimiento</t>
        </r>
      </text>
    </comment>
    <comment ref="E109" authorId="2" shapeId="0" xr:uid="{5798A99E-A000-4489-93FA-ABFA436B4474}">
      <text>
        <r>
          <rPr>
            <sz val="11"/>
            <color theme="1"/>
            <rFont val="Calibri"/>
            <family val="2"/>
            <scheme val="minor"/>
          </rPr>
          <t>Seleccione un valor de la lista</t>
        </r>
      </text>
    </comment>
    <comment ref="F109" authorId="2" shapeId="0" xr:uid="{4F435751-29EE-476A-BB85-065B00C8EDA5}">
      <text>
        <r>
          <rPr>
            <sz val="11"/>
            <color theme="1"/>
            <rFont val="Calibri"/>
            <family val="2"/>
            <scheme val="minor"/>
          </rPr>
          <t>Introduzca el código SNIP</t>
        </r>
      </text>
    </comment>
    <comment ref="C110" authorId="2" shapeId="0" xr:uid="{B0F6822E-72B2-4CE9-93EE-AB9787C54815}">
      <text>
        <r>
          <rPr>
            <sz val="11"/>
            <color theme="1"/>
            <rFont val="Calibri"/>
            <family val="2"/>
            <scheme val="minor"/>
          </rPr>
          <t>Introduzca la fecha de inicio del proceso, en formato dd-mm-aaaa</t>
        </r>
      </text>
    </comment>
    <comment ref="F110" authorId="2" shapeId="0" xr:uid="{81D0E795-0A3A-4DB2-A7C0-39D65AB50F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2" shapeId="0" xr:uid="{E7D3E00D-49D3-46CB-AB21-FB5B012C87D4}">
      <text/>
    </comment>
    <comment ref="C112" authorId="2" shapeId="0" xr:uid="{C0EFC8DC-FC1F-4F62-A38C-5B28F0CA2679}">
      <text>
        <r>
          <rPr>
            <sz val="11"/>
            <color theme="1"/>
            <rFont val="Calibri"/>
            <family val="2"/>
            <scheme val="minor"/>
          </rPr>
          <t>Introduzca la fecha prevista de adjudicación, en formato dd-mm-aaaa</t>
        </r>
      </text>
    </comment>
    <comment ref="F112" authorId="2" shapeId="0" xr:uid="{8E912539-5F1B-4DCB-AAE0-58126E3BEC18}">
      <text/>
    </comment>
    <comment ref="F113" authorId="2" shapeId="0" xr:uid="{9994EE14-5194-4906-A17F-36148DA07A97}">
      <text/>
    </comment>
    <comment ref="A115" authorId="2" shapeId="0" xr:uid="{9E587994-1529-4F72-B363-DB7AF77B604E}">
      <text>
        <r>
          <rPr>
            <sz val="11"/>
            <color theme="1"/>
            <rFont val="Calibri"/>
            <family val="2"/>
            <scheme val="minor"/>
          </rPr>
          <t>Introduzca un codigo UNSPSC</t>
        </r>
      </text>
    </comment>
    <comment ref="B115" authorId="2" shapeId="0" xr:uid="{98CFE9BE-89E7-445D-9D1B-AD8C08DFF881}">
      <text>
        <r>
          <rPr>
            <sz val="11"/>
            <color theme="1"/>
            <rFont val="Calibri"/>
            <family val="2"/>
            <scheme val="minor"/>
          </rPr>
          <t>Descripción calculada automáticamente a partir de código del artículo</t>
        </r>
      </text>
    </comment>
    <comment ref="C115" authorId="2" shapeId="0" xr:uid="{6A201AE6-55FC-46D8-B671-EA63A9C2EAF5}">
      <text>
        <r>
          <rPr>
            <sz val="11"/>
            <color theme="1"/>
            <rFont val="Calibri"/>
            <family val="2"/>
            <scheme val="minor"/>
          </rPr>
          <t>Seleccione un valor de la lista</t>
        </r>
      </text>
    </comment>
    <comment ref="D115" authorId="2" shapeId="0" xr:uid="{B11A03F0-0BCA-4E55-9C59-C5AA3AF58FAD}">
      <text>
        <r>
          <rPr>
            <sz val="11"/>
            <color theme="1"/>
            <rFont val="Calibri"/>
            <family val="2"/>
            <scheme val="minor"/>
          </rPr>
          <t>Introduzca un número con dos decimales como máximo. Debe ser igual o mayor a la "Cantidad Real Consumida"</t>
        </r>
      </text>
    </comment>
    <comment ref="E115" authorId="2" shapeId="0" xr:uid="{91C0DC2A-AF4C-4A08-AC2A-21E7B5EA6F39}">
      <text>
        <r>
          <rPr>
            <sz val="11"/>
            <color theme="1"/>
            <rFont val="Calibri"/>
            <family val="2"/>
            <scheme val="minor"/>
          </rPr>
          <t>Introduzca un número con dos decimales como máximo</t>
        </r>
      </text>
    </comment>
    <comment ref="F115" authorId="2" shapeId="0" xr:uid="{75230229-52C9-42AB-A37D-177BA6B17211}">
      <text>
        <r>
          <rPr>
            <sz val="11"/>
            <color theme="1"/>
            <rFont val="Calibri"/>
            <family val="2"/>
            <scheme val="minor"/>
          </rPr>
          <t>Monto calculado automáticamente por el sistema</t>
        </r>
      </text>
    </comment>
    <comment ref="A120" authorId="2" shapeId="0" xr:uid="{0E6E5A4B-44F6-46C0-B7D0-973EDB8B3527}">
      <text>
        <r>
          <rPr>
            <sz val="11"/>
            <color theme="1"/>
            <rFont val="Calibri"/>
            <family val="2"/>
            <scheme val="minor"/>
          </rPr>
          <t>Introducir un texto con el nombre o referencia de la contratación</t>
        </r>
      </text>
    </comment>
    <comment ref="B120" authorId="2" shapeId="0" xr:uid="{6D10CB34-1C58-49FD-B0F7-4F68C27001D6}">
      <text>
        <r>
          <rPr>
            <sz val="11"/>
            <color theme="1"/>
            <rFont val="Calibri"/>
            <family val="2"/>
            <scheme val="minor"/>
          </rPr>
          <t>Introduzca un texto con la finalidad de la contratación</t>
        </r>
      </text>
    </comment>
    <comment ref="C120" authorId="2" shapeId="0" xr:uid="{5776400B-80A3-4913-9229-D2B46508C90E}">
      <text>
        <r>
          <rPr>
            <sz val="11"/>
            <color theme="1"/>
            <rFont val="Calibri"/>
            <family val="2"/>
            <scheme val="minor"/>
          </rPr>
          <t>Seleccionar un valor del listado</t>
        </r>
      </text>
    </comment>
    <comment ref="D120" authorId="2" shapeId="0" xr:uid="{76D76259-F130-4BED-9A67-6D506EDC0565}">
      <text>
        <r>
          <rPr>
            <sz val="11"/>
            <color theme="1"/>
            <rFont val="Calibri"/>
            <family val="2"/>
            <scheme val="minor"/>
          </rPr>
          <t>Seleccione el tipo de procedimiento</t>
        </r>
      </text>
    </comment>
    <comment ref="E120" authorId="2" shapeId="0" xr:uid="{705B95BE-B02C-4FBC-B03D-E7528D76D059}">
      <text>
        <r>
          <rPr>
            <sz val="11"/>
            <color theme="1"/>
            <rFont val="Calibri"/>
            <family val="2"/>
            <scheme val="minor"/>
          </rPr>
          <t>Seleccione un valor de la lista</t>
        </r>
      </text>
    </comment>
    <comment ref="F120" authorId="2" shapeId="0" xr:uid="{50FC0CFF-8B83-4BC6-9D8C-B390A615A4F3}">
      <text>
        <r>
          <rPr>
            <sz val="11"/>
            <color theme="1"/>
            <rFont val="Calibri"/>
            <family val="2"/>
            <scheme val="minor"/>
          </rPr>
          <t>Introduzca el código SNIP</t>
        </r>
      </text>
    </comment>
    <comment ref="C121" authorId="2" shapeId="0" xr:uid="{4BA87166-DBC6-461C-A534-A8EDD56F5E7F}">
      <text>
        <r>
          <rPr>
            <sz val="11"/>
            <color theme="1"/>
            <rFont val="Calibri"/>
            <family val="2"/>
            <scheme val="minor"/>
          </rPr>
          <t>Introduzca la fecha de inicio del proceso, en formato dd-mm-aaaa</t>
        </r>
      </text>
    </comment>
    <comment ref="F121" authorId="2" shapeId="0" xr:uid="{4CE90EBA-3700-4315-B62B-EA3981987A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2" shapeId="0" xr:uid="{536DA7DF-754F-49B1-BEB8-512CA87E009D}">
      <text/>
    </comment>
    <comment ref="C123" authorId="2" shapeId="0" xr:uid="{DD10ABA5-ECDD-431A-BB56-51609413F1EA}">
      <text>
        <r>
          <rPr>
            <sz val="11"/>
            <color theme="1"/>
            <rFont val="Calibri"/>
            <family val="2"/>
            <scheme val="minor"/>
          </rPr>
          <t>Introduzca la fecha prevista de adjudicación, en formato dd-mm-aaaa</t>
        </r>
      </text>
    </comment>
    <comment ref="F123" authorId="2" shapeId="0" xr:uid="{9026EABE-DAEA-45E0-8798-CEC9E6CC7A64}">
      <text/>
    </comment>
    <comment ref="F124" authorId="2" shapeId="0" xr:uid="{B57781EB-AA07-48D2-A871-F2799CF52C08}">
      <text/>
    </comment>
    <comment ref="A126" authorId="2" shapeId="0" xr:uid="{CF8AB590-DD26-4036-8D4A-C6AD71DC0813}">
      <text>
        <r>
          <rPr>
            <sz val="11"/>
            <color theme="1"/>
            <rFont val="Calibri"/>
            <family val="2"/>
            <scheme val="minor"/>
          </rPr>
          <t>Introduzca un codigo UNSPSC</t>
        </r>
      </text>
    </comment>
    <comment ref="B126" authorId="2" shapeId="0" xr:uid="{D3F1BE71-4986-4DE2-B616-7FD568FA9045}">
      <text>
        <r>
          <rPr>
            <sz val="11"/>
            <color theme="1"/>
            <rFont val="Calibri"/>
            <family val="2"/>
            <scheme val="minor"/>
          </rPr>
          <t>Descripción calculada automáticamente a partir de código del artículo</t>
        </r>
      </text>
    </comment>
    <comment ref="C126" authorId="2" shapeId="0" xr:uid="{4D5C4D12-1AB6-4249-9BEB-968C79221F1B}">
      <text>
        <r>
          <rPr>
            <sz val="11"/>
            <color theme="1"/>
            <rFont val="Calibri"/>
            <family val="2"/>
            <scheme val="minor"/>
          </rPr>
          <t>Seleccione un valor de la lista</t>
        </r>
      </text>
    </comment>
    <comment ref="D126" authorId="2" shapeId="0" xr:uid="{1ED351CD-71AC-4D0E-9F74-8D75779CAFD2}">
      <text>
        <r>
          <rPr>
            <sz val="11"/>
            <color theme="1"/>
            <rFont val="Calibri"/>
            <family val="2"/>
            <scheme val="minor"/>
          </rPr>
          <t>Introduzca un número con dos decimales como máximo. Debe ser igual o mayor a la "Cantidad Real Consumida"</t>
        </r>
      </text>
    </comment>
    <comment ref="E126" authorId="2" shapeId="0" xr:uid="{356F07EF-4F1A-4FCD-B600-0A10142C31D9}">
      <text>
        <r>
          <rPr>
            <sz val="11"/>
            <color theme="1"/>
            <rFont val="Calibri"/>
            <family val="2"/>
            <scheme val="minor"/>
          </rPr>
          <t>Introduzca un número con dos decimales como máximo</t>
        </r>
      </text>
    </comment>
    <comment ref="F126" authorId="2" shapeId="0" xr:uid="{28DAC9AE-2B15-4500-82DF-7D7FB4E92E17}">
      <text>
        <r>
          <rPr>
            <sz val="11"/>
            <color theme="1"/>
            <rFont val="Calibri"/>
            <family val="2"/>
            <scheme val="minor"/>
          </rPr>
          <t>Monto calculado automáticamente por el sistema</t>
        </r>
      </text>
    </comment>
    <comment ref="A132" authorId="2" shapeId="0" xr:uid="{B2EBE86F-D941-4667-934F-292FBD928480}">
      <text>
        <r>
          <rPr>
            <sz val="11"/>
            <color theme="1"/>
            <rFont val="Calibri"/>
            <family val="2"/>
            <scheme val="minor"/>
          </rPr>
          <t>Introducir un texto con el nombre o referencia de la contratación</t>
        </r>
      </text>
    </comment>
    <comment ref="B132" authorId="2" shapeId="0" xr:uid="{4119464E-67A2-407C-99C2-AA2E588957B0}">
      <text>
        <r>
          <rPr>
            <sz val="11"/>
            <color theme="1"/>
            <rFont val="Calibri"/>
            <family val="2"/>
            <scheme val="minor"/>
          </rPr>
          <t>Introduzca un texto con la finalidad de la contratación</t>
        </r>
      </text>
    </comment>
    <comment ref="C132" authorId="2" shapeId="0" xr:uid="{747E9271-0486-4598-A380-99CB2A6E1A2C}">
      <text>
        <r>
          <rPr>
            <sz val="11"/>
            <color theme="1"/>
            <rFont val="Calibri"/>
            <family val="2"/>
            <scheme val="minor"/>
          </rPr>
          <t>Seleccionar un valor del listado</t>
        </r>
      </text>
    </comment>
    <comment ref="D132" authorId="2" shapeId="0" xr:uid="{12D4DE23-8965-420B-AB7A-37CBE939715D}">
      <text>
        <r>
          <rPr>
            <sz val="11"/>
            <color theme="1"/>
            <rFont val="Calibri"/>
            <family val="2"/>
            <scheme val="minor"/>
          </rPr>
          <t>Seleccione el tipo de procedimiento</t>
        </r>
      </text>
    </comment>
    <comment ref="E132" authorId="2" shapeId="0" xr:uid="{9E9C82DC-76D5-4E9F-A528-EB9E5ED3C3A2}">
      <text>
        <r>
          <rPr>
            <sz val="11"/>
            <color theme="1"/>
            <rFont val="Calibri"/>
            <family val="2"/>
            <scheme val="minor"/>
          </rPr>
          <t>Seleccione un valor de la lista</t>
        </r>
      </text>
    </comment>
    <comment ref="F132" authorId="2" shapeId="0" xr:uid="{9D59740E-49CB-47F3-8169-CFF0BFA39FC5}">
      <text>
        <r>
          <rPr>
            <sz val="11"/>
            <color theme="1"/>
            <rFont val="Calibri"/>
            <family val="2"/>
            <scheme val="minor"/>
          </rPr>
          <t>Introduzca el código SNIP</t>
        </r>
      </text>
    </comment>
    <comment ref="C133" authorId="2" shapeId="0" xr:uid="{64996D5C-9CA9-4A15-8CB2-D5EEB8921A12}">
      <text>
        <r>
          <rPr>
            <sz val="11"/>
            <color theme="1"/>
            <rFont val="Calibri"/>
            <family val="2"/>
            <scheme val="minor"/>
          </rPr>
          <t>Introduzca la fecha de inicio del proceso, en formato dd-mm-aaaa</t>
        </r>
      </text>
    </comment>
    <comment ref="F133" authorId="2" shapeId="0" xr:uid="{62D614A8-69DA-40A9-9DED-0A6F1ED64C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2" shapeId="0" xr:uid="{BD4DE0AF-DAC6-4687-895D-C3DA41EC4C39}">
      <text/>
    </comment>
    <comment ref="C135" authorId="2" shapeId="0" xr:uid="{867C6D53-80BD-4500-BB40-8093BEB464B3}">
      <text>
        <r>
          <rPr>
            <sz val="11"/>
            <color theme="1"/>
            <rFont val="Calibri"/>
            <family val="2"/>
            <scheme val="minor"/>
          </rPr>
          <t>Introduzca la fecha prevista de adjudicación, en formato dd-mm-aaaa</t>
        </r>
      </text>
    </comment>
    <comment ref="F135" authorId="2" shapeId="0" xr:uid="{7C3FAFB7-4527-481D-B397-AA920B6A248D}">
      <text/>
    </comment>
    <comment ref="F136" authorId="2" shapeId="0" xr:uid="{241FA249-F512-4FC3-9073-8E7DF05D020C}">
      <text/>
    </comment>
    <comment ref="A138" authorId="2" shapeId="0" xr:uid="{48D263DC-5C91-4E5D-977B-A95CBF482B62}">
      <text>
        <r>
          <rPr>
            <sz val="11"/>
            <color theme="1"/>
            <rFont val="Calibri"/>
            <family val="2"/>
            <scheme val="minor"/>
          </rPr>
          <t>Introduzca un codigo UNSPSC</t>
        </r>
      </text>
    </comment>
    <comment ref="B138" authorId="2" shapeId="0" xr:uid="{C539BD4F-BBD2-4D6A-BC3B-4137BF9D0456}">
      <text>
        <r>
          <rPr>
            <sz val="11"/>
            <color theme="1"/>
            <rFont val="Calibri"/>
            <family val="2"/>
            <scheme val="minor"/>
          </rPr>
          <t>Descripción calculada automáticamente a partir de código del artículo</t>
        </r>
      </text>
    </comment>
    <comment ref="C138" authorId="2" shapeId="0" xr:uid="{DB5735E8-BA64-4DBC-B49B-312E28DFD380}">
      <text>
        <r>
          <rPr>
            <sz val="11"/>
            <color theme="1"/>
            <rFont val="Calibri"/>
            <family val="2"/>
            <scheme val="minor"/>
          </rPr>
          <t>Seleccione un valor de la lista</t>
        </r>
      </text>
    </comment>
    <comment ref="D138" authorId="2" shapeId="0" xr:uid="{14C179DF-F090-492F-AB6B-9144C2EEB795}">
      <text>
        <r>
          <rPr>
            <sz val="11"/>
            <color theme="1"/>
            <rFont val="Calibri"/>
            <family val="2"/>
            <scheme val="minor"/>
          </rPr>
          <t>Introduzca un número con dos decimales como máximo. Debe ser igual o mayor a la "Cantidad Real Consumida"</t>
        </r>
      </text>
    </comment>
    <comment ref="E138" authorId="2" shapeId="0" xr:uid="{73EEBE9A-E3C1-401C-A65A-49C804E9BED1}">
      <text>
        <r>
          <rPr>
            <sz val="11"/>
            <color theme="1"/>
            <rFont val="Calibri"/>
            <family val="2"/>
            <scheme val="minor"/>
          </rPr>
          <t>Introduzca un número con dos decimales como máximo</t>
        </r>
      </text>
    </comment>
    <comment ref="F138" authorId="2" shapeId="0" xr:uid="{20D08B3C-C208-4F1D-9655-D4F269319F45}">
      <text>
        <r>
          <rPr>
            <sz val="11"/>
            <color theme="1"/>
            <rFont val="Calibri"/>
            <family val="2"/>
            <scheme val="minor"/>
          </rPr>
          <t>Monto calculado automáticamente por el sistema</t>
        </r>
      </text>
    </comment>
    <comment ref="A144" authorId="2" shapeId="0" xr:uid="{1C04DBF0-BC8D-4FD5-BE2F-5A4EBCFBA26E}">
      <text>
        <r>
          <rPr>
            <sz val="11"/>
            <color theme="1"/>
            <rFont val="Calibri"/>
            <family val="2"/>
            <scheme val="minor"/>
          </rPr>
          <t>Introducir un texto con el nombre o referencia de la contratación</t>
        </r>
      </text>
    </comment>
    <comment ref="B144" authorId="2" shapeId="0" xr:uid="{E89499AB-03A9-496C-AAB9-F521E96B8F2C}">
      <text>
        <r>
          <rPr>
            <sz val="11"/>
            <color theme="1"/>
            <rFont val="Calibri"/>
            <family val="2"/>
            <scheme val="minor"/>
          </rPr>
          <t>Introduzca un texto con la finalidad de la contratación</t>
        </r>
      </text>
    </comment>
    <comment ref="C144" authorId="2" shapeId="0" xr:uid="{EEA67FD3-4595-4220-8945-24CF20A8E8F4}">
      <text>
        <r>
          <rPr>
            <sz val="11"/>
            <color theme="1"/>
            <rFont val="Calibri"/>
            <family val="2"/>
            <scheme val="minor"/>
          </rPr>
          <t>Seleccionar un valor del listado</t>
        </r>
      </text>
    </comment>
    <comment ref="D144" authorId="2" shapeId="0" xr:uid="{4AB3F102-843F-47FE-8092-CD3C48A3AD54}">
      <text>
        <r>
          <rPr>
            <sz val="11"/>
            <color theme="1"/>
            <rFont val="Calibri"/>
            <family val="2"/>
            <scheme val="minor"/>
          </rPr>
          <t>Seleccione el tipo de procedimiento</t>
        </r>
      </text>
    </comment>
    <comment ref="E144" authorId="2" shapeId="0" xr:uid="{16FBD616-FF08-4ED2-9349-6FB6456940AB}">
      <text>
        <r>
          <rPr>
            <sz val="11"/>
            <color theme="1"/>
            <rFont val="Calibri"/>
            <family val="2"/>
            <scheme val="minor"/>
          </rPr>
          <t>Seleccione un valor de la lista</t>
        </r>
      </text>
    </comment>
    <comment ref="F144" authorId="2" shapeId="0" xr:uid="{DCE00438-23AD-492D-96B3-C1D599063869}">
      <text>
        <r>
          <rPr>
            <sz val="11"/>
            <color theme="1"/>
            <rFont val="Calibri"/>
            <family val="2"/>
            <scheme val="minor"/>
          </rPr>
          <t>Introduzca el código SNIP</t>
        </r>
      </text>
    </comment>
    <comment ref="C145" authorId="2" shapeId="0" xr:uid="{0383B173-56D6-4A7A-BEB2-F800EB6D0070}">
      <text>
        <r>
          <rPr>
            <sz val="11"/>
            <color theme="1"/>
            <rFont val="Calibri"/>
            <family val="2"/>
            <scheme val="minor"/>
          </rPr>
          <t>Introduzca la fecha de inicio del proceso, en formato dd-mm-aaaa</t>
        </r>
      </text>
    </comment>
    <comment ref="F145" authorId="2" shapeId="0" xr:uid="{3C8CE10F-5744-4830-AFDB-B29B3943BC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2" shapeId="0" xr:uid="{2864B4B3-73E6-4575-8711-FBFBD4AB86B3}">
      <text/>
    </comment>
    <comment ref="C147" authorId="2" shapeId="0" xr:uid="{DBFB0E2C-8854-4327-A743-A800FC4DED82}">
      <text>
        <r>
          <rPr>
            <sz val="11"/>
            <color theme="1"/>
            <rFont val="Calibri"/>
            <family val="2"/>
            <scheme val="minor"/>
          </rPr>
          <t>Introduzca la fecha prevista de adjudicación, en formato dd-mm-aaaa</t>
        </r>
      </text>
    </comment>
    <comment ref="F147" authorId="2" shapeId="0" xr:uid="{75BC7F86-E77E-487A-9697-9FF73D4FC61B}">
      <text/>
    </comment>
    <comment ref="F148" authorId="2" shapeId="0" xr:uid="{A6B3BDE0-8999-46CF-A6A7-0BDDB3106AB9}">
      <text/>
    </comment>
    <comment ref="A150" authorId="2" shapeId="0" xr:uid="{47E35276-73AA-4E9D-B7C2-BA8F8361F252}">
      <text>
        <r>
          <rPr>
            <sz val="11"/>
            <color theme="1"/>
            <rFont val="Calibri"/>
            <family val="2"/>
            <scheme val="minor"/>
          </rPr>
          <t>Introduzca un codigo UNSPSC</t>
        </r>
      </text>
    </comment>
    <comment ref="B150" authorId="2" shapeId="0" xr:uid="{0BA795D4-B46F-48ED-8ECB-49A0CF0D3CB6}">
      <text>
        <r>
          <rPr>
            <sz val="11"/>
            <color theme="1"/>
            <rFont val="Calibri"/>
            <family val="2"/>
            <scheme val="minor"/>
          </rPr>
          <t>Descripción calculada automáticamente a partir de código del artículo</t>
        </r>
      </text>
    </comment>
    <comment ref="C150" authorId="2" shapeId="0" xr:uid="{0D4E3D78-7812-4289-A30A-C760BB18F1F6}">
      <text>
        <r>
          <rPr>
            <sz val="11"/>
            <color theme="1"/>
            <rFont val="Calibri"/>
            <family val="2"/>
            <scheme val="minor"/>
          </rPr>
          <t>Seleccione un valor de la lista</t>
        </r>
      </text>
    </comment>
    <comment ref="D150" authorId="2" shapeId="0" xr:uid="{DD1E6254-26FB-48A1-8390-61E4B8C2A71F}">
      <text>
        <r>
          <rPr>
            <sz val="11"/>
            <color theme="1"/>
            <rFont val="Calibri"/>
            <family val="2"/>
            <scheme val="minor"/>
          </rPr>
          <t>Introduzca un número con dos decimales como máximo. Debe ser igual o mayor a la "Cantidad Real Consumida"</t>
        </r>
      </text>
    </comment>
    <comment ref="E150" authorId="2" shapeId="0" xr:uid="{1837CFBE-FD22-486E-965E-869317BCE65A}">
      <text>
        <r>
          <rPr>
            <sz val="11"/>
            <color theme="1"/>
            <rFont val="Calibri"/>
            <family val="2"/>
            <scheme val="minor"/>
          </rPr>
          <t>Introduzca un número con dos decimales como máximo</t>
        </r>
      </text>
    </comment>
    <comment ref="F150" authorId="2" shapeId="0" xr:uid="{FC938F66-911B-4E59-93D4-04E051D574F0}">
      <text>
        <r>
          <rPr>
            <sz val="11"/>
            <color theme="1"/>
            <rFont val="Calibri"/>
            <family val="2"/>
            <scheme val="minor"/>
          </rPr>
          <t>Monto calculado automáticamente por el sistema</t>
        </r>
      </text>
    </comment>
    <comment ref="A157" authorId="2" shapeId="0" xr:uid="{6D71B1FE-8F15-4138-9977-6159E59A4966}">
      <text>
        <r>
          <rPr>
            <sz val="11"/>
            <color theme="1"/>
            <rFont val="Calibri"/>
            <family val="2"/>
            <scheme val="minor"/>
          </rPr>
          <t>Introducir un texto con el nombre o referencia de la contratación</t>
        </r>
      </text>
    </comment>
    <comment ref="B157" authorId="2" shapeId="0" xr:uid="{A8B3CE2C-D9EB-4474-8E7A-5B94789F6F99}">
      <text>
        <r>
          <rPr>
            <sz val="11"/>
            <color theme="1"/>
            <rFont val="Calibri"/>
            <family val="2"/>
            <scheme val="minor"/>
          </rPr>
          <t>Introduzca un texto con la finalidad de la contratación</t>
        </r>
      </text>
    </comment>
    <comment ref="C157" authorId="2" shapeId="0" xr:uid="{1ACEA8A9-C647-431F-A086-63751D006121}">
      <text>
        <r>
          <rPr>
            <sz val="11"/>
            <color theme="1"/>
            <rFont val="Calibri"/>
            <family val="2"/>
            <scheme val="minor"/>
          </rPr>
          <t>Seleccionar un valor del listado</t>
        </r>
      </text>
    </comment>
    <comment ref="D157" authorId="2" shapeId="0" xr:uid="{5086311C-F5E7-4D7F-ADF7-EFE1110C917F}">
      <text>
        <r>
          <rPr>
            <sz val="11"/>
            <color theme="1"/>
            <rFont val="Calibri"/>
            <family val="2"/>
            <scheme val="minor"/>
          </rPr>
          <t>Seleccione el tipo de procedimiento</t>
        </r>
      </text>
    </comment>
    <comment ref="E157" authorId="2" shapeId="0" xr:uid="{0D873F5E-ECAF-4DE9-BCC1-2BA9A950C1C1}">
      <text>
        <r>
          <rPr>
            <sz val="11"/>
            <color theme="1"/>
            <rFont val="Calibri"/>
            <family val="2"/>
            <scheme val="minor"/>
          </rPr>
          <t>Seleccione un valor de la lista</t>
        </r>
      </text>
    </comment>
    <comment ref="F157" authorId="2" shapeId="0" xr:uid="{069D800E-95D1-4FF0-BF1A-5F7F04274FB5}">
      <text>
        <r>
          <rPr>
            <sz val="11"/>
            <color theme="1"/>
            <rFont val="Calibri"/>
            <family val="2"/>
            <scheme val="minor"/>
          </rPr>
          <t>Introduzca el código SNIP</t>
        </r>
      </text>
    </comment>
    <comment ref="C158" authorId="2" shapeId="0" xr:uid="{3D31B8D9-FEB9-44D3-B01B-AD6586C27335}">
      <text>
        <r>
          <rPr>
            <sz val="11"/>
            <color theme="1"/>
            <rFont val="Calibri"/>
            <family val="2"/>
            <scheme val="minor"/>
          </rPr>
          <t>Introduzca la fecha de inicio del proceso, en formato dd-mm-aaaa</t>
        </r>
      </text>
    </comment>
    <comment ref="F158" authorId="2" shapeId="0" xr:uid="{A6C54E58-534D-433A-B6F6-E94F7C7EF9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2" shapeId="0" xr:uid="{8F4D6D76-FC87-4F04-B604-364A5CCDAC43}">
      <text/>
    </comment>
    <comment ref="C160" authorId="2" shapeId="0" xr:uid="{6EC918BB-BE25-476E-B4A3-B29B1161FF02}">
      <text>
        <r>
          <rPr>
            <sz val="11"/>
            <color theme="1"/>
            <rFont val="Calibri"/>
            <family val="2"/>
            <scheme val="minor"/>
          </rPr>
          <t>Introduzca la fecha prevista de adjudicación, en formato dd-mm-aaaa</t>
        </r>
      </text>
    </comment>
    <comment ref="F160" authorId="2" shapeId="0" xr:uid="{614DAE87-B7BA-4FCC-B448-C5039F7CEDC3}">
      <text/>
    </comment>
    <comment ref="F161" authorId="2" shapeId="0" xr:uid="{71CDABB5-F892-4014-889E-C8F5B4C8E5B2}">
      <text/>
    </comment>
    <comment ref="A163" authorId="2" shapeId="0" xr:uid="{7C527ECC-9C23-4209-8383-DCA8468343EC}">
      <text>
        <r>
          <rPr>
            <sz val="11"/>
            <color theme="1"/>
            <rFont val="Calibri"/>
            <family val="2"/>
            <scheme val="minor"/>
          </rPr>
          <t>Introduzca un codigo UNSPSC</t>
        </r>
      </text>
    </comment>
    <comment ref="B163" authorId="2" shapeId="0" xr:uid="{577BC543-9B0B-4A9D-8227-D4C85572AFCF}">
      <text>
        <r>
          <rPr>
            <sz val="11"/>
            <color theme="1"/>
            <rFont val="Calibri"/>
            <family val="2"/>
            <scheme val="minor"/>
          </rPr>
          <t>Descripción calculada automáticamente a partir de código del artículo</t>
        </r>
      </text>
    </comment>
    <comment ref="C163" authorId="2" shapeId="0" xr:uid="{ED1F2011-9E2D-403E-BFCA-9F0742223533}">
      <text>
        <r>
          <rPr>
            <sz val="11"/>
            <color theme="1"/>
            <rFont val="Calibri"/>
            <family val="2"/>
            <scheme val="minor"/>
          </rPr>
          <t>Seleccione un valor de la lista</t>
        </r>
      </text>
    </comment>
    <comment ref="D163" authorId="2" shapeId="0" xr:uid="{CF343D1B-E8EA-4A10-AFF9-85843973B9CF}">
      <text>
        <r>
          <rPr>
            <sz val="11"/>
            <color theme="1"/>
            <rFont val="Calibri"/>
            <family val="2"/>
            <scheme val="minor"/>
          </rPr>
          <t>Introduzca un número con dos decimales como máximo. Debe ser igual o mayor a la "Cantidad Real Consumida"</t>
        </r>
      </text>
    </comment>
    <comment ref="E163" authorId="2" shapeId="0" xr:uid="{868C2347-E15B-4E4F-9512-1830A2C030BF}">
      <text>
        <r>
          <rPr>
            <sz val="11"/>
            <color theme="1"/>
            <rFont val="Calibri"/>
            <family val="2"/>
            <scheme val="minor"/>
          </rPr>
          <t>Introduzca un número con dos decimales como máximo</t>
        </r>
      </text>
    </comment>
    <comment ref="F163" authorId="2" shapeId="0" xr:uid="{E768B6E8-325B-4CDA-B43E-02C600EF8102}">
      <text>
        <r>
          <rPr>
            <sz val="11"/>
            <color theme="1"/>
            <rFont val="Calibri"/>
            <family val="2"/>
            <scheme val="minor"/>
          </rPr>
          <t>Monto calculado automáticamente por el sistema</t>
        </r>
      </text>
    </comment>
    <comment ref="A170" authorId="2" shapeId="0" xr:uid="{4E8E47F2-8B93-45DD-AB01-4FC5BFF7C98F}">
      <text>
        <r>
          <rPr>
            <sz val="11"/>
            <color theme="1"/>
            <rFont val="Calibri"/>
            <family val="2"/>
            <scheme val="minor"/>
          </rPr>
          <t>Introducir un texto con el nombre o referencia de la contratación</t>
        </r>
      </text>
    </comment>
    <comment ref="B170" authorId="2" shapeId="0" xr:uid="{8FF50A6B-8205-436D-A828-D7C093FE2413}">
      <text>
        <r>
          <rPr>
            <sz val="11"/>
            <color theme="1"/>
            <rFont val="Calibri"/>
            <family val="2"/>
            <scheme val="minor"/>
          </rPr>
          <t>Introduzca un texto con la finalidad de la contratación</t>
        </r>
      </text>
    </comment>
    <comment ref="C170" authorId="2" shapeId="0" xr:uid="{4D56F2DF-8B04-4580-9644-1136FF3DAB0D}">
      <text>
        <r>
          <rPr>
            <sz val="11"/>
            <color theme="1"/>
            <rFont val="Calibri"/>
            <family val="2"/>
            <scheme val="minor"/>
          </rPr>
          <t>Seleccionar un valor del listado</t>
        </r>
      </text>
    </comment>
    <comment ref="D170" authorId="2" shapeId="0" xr:uid="{8471C106-C4C8-4F47-AB41-248FAE8A7095}">
      <text>
        <r>
          <rPr>
            <sz val="11"/>
            <color theme="1"/>
            <rFont val="Calibri"/>
            <family val="2"/>
            <scheme val="minor"/>
          </rPr>
          <t>Seleccione el tipo de procedimiento</t>
        </r>
      </text>
    </comment>
    <comment ref="E170" authorId="2" shapeId="0" xr:uid="{00306B65-716A-454B-96EB-A7E3A8CA16BF}">
      <text>
        <r>
          <rPr>
            <sz val="11"/>
            <color theme="1"/>
            <rFont val="Calibri"/>
            <family val="2"/>
            <scheme val="minor"/>
          </rPr>
          <t>Seleccione un valor de la lista</t>
        </r>
      </text>
    </comment>
    <comment ref="F170" authorId="2" shapeId="0" xr:uid="{BCBA7C14-4CEF-4A77-8D6C-08DD32072898}">
      <text>
        <r>
          <rPr>
            <sz val="11"/>
            <color theme="1"/>
            <rFont val="Calibri"/>
            <family val="2"/>
            <scheme val="minor"/>
          </rPr>
          <t>Introduzca el código SNIP</t>
        </r>
      </text>
    </comment>
    <comment ref="C171" authorId="2" shapeId="0" xr:uid="{6BDA03EF-9188-49F3-94CA-7388C49765C2}">
      <text>
        <r>
          <rPr>
            <sz val="11"/>
            <color theme="1"/>
            <rFont val="Calibri"/>
            <family val="2"/>
            <scheme val="minor"/>
          </rPr>
          <t>Introduzca la fecha de inicio del proceso, en formato dd-mm-aaaa</t>
        </r>
      </text>
    </comment>
    <comment ref="F171" authorId="2" shapeId="0" xr:uid="{C7D85FE1-3488-4820-9B8E-991E28FC26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934A52C7-CFA2-4F8C-BD0C-311DEA774E2B}">
      <text/>
    </comment>
    <comment ref="C173" authorId="2" shapeId="0" xr:uid="{86459A3E-C1FF-4EB2-9E44-BBB107263551}">
      <text>
        <r>
          <rPr>
            <sz val="11"/>
            <color theme="1"/>
            <rFont val="Calibri"/>
            <family val="2"/>
            <scheme val="minor"/>
          </rPr>
          <t>Introduzca la fecha prevista de adjudicación, en formato dd-mm-aaaa</t>
        </r>
      </text>
    </comment>
    <comment ref="F173" authorId="2" shapeId="0" xr:uid="{B356A5A7-EF5C-4E79-92E7-BC04A86FA038}">
      <text/>
    </comment>
    <comment ref="F174" authorId="2" shapeId="0" xr:uid="{5788605F-A1E6-4AC3-B42A-7B72EC095461}">
      <text/>
    </comment>
    <comment ref="A176" authorId="2" shapeId="0" xr:uid="{5E7CBD3D-E4CF-4152-A704-5980C5D88187}">
      <text>
        <r>
          <rPr>
            <sz val="11"/>
            <color theme="1"/>
            <rFont val="Calibri"/>
            <family val="2"/>
            <scheme val="minor"/>
          </rPr>
          <t>Introduzca un codigo UNSPSC</t>
        </r>
      </text>
    </comment>
    <comment ref="B176" authorId="2" shapeId="0" xr:uid="{58C78F1E-3A7B-4204-888A-E88CAC61A2F4}">
      <text>
        <r>
          <rPr>
            <sz val="11"/>
            <color theme="1"/>
            <rFont val="Calibri"/>
            <family val="2"/>
            <scheme val="minor"/>
          </rPr>
          <t>Descripción calculada automáticamente a partir de código del artículo</t>
        </r>
      </text>
    </comment>
    <comment ref="C176" authorId="2" shapeId="0" xr:uid="{4B11EA8C-482F-47DD-9890-0EDC1D7CE43F}">
      <text>
        <r>
          <rPr>
            <sz val="11"/>
            <color theme="1"/>
            <rFont val="Calibri"/>
            <family val="2"/>
            <scheme val="minor"/>
          </rPr>
          <t>Seleccione un valor de la lista</t>
        </r>
      </text>
    </comment>
    <comment ref="D176" authorId="2" shapeId="0" xr:uid="{F4630F6D-CB52-4210-8041-ABBD700825F1}">
      <text>
        <r>
          <rPr>
            <sz val="11"/>
            <color theme="1"/>
            <rFont val="Calibri"/>
            <family val="2"/>
            <scheme val="minor"/>
          </rPr>
          <t>Introduzca un número con dos decimales como máximo. Debe ser igual o mayor a la "Cantidad Real Consumida"</t>
        </r>
      </text>
    </comment>
    <comment ref="E176" authorId="2" shapeId="0" xr:uid="{CF6BCB19-DAD2-40E3-ABDE-7F75E4B42BB7}">
      <text>
        <r>
          <rPr>
            <sz val="11"/>
            <color theme="1"/>
            <rFont val="Calibri"/>
            <family val="2"/>
            <scheme val="minor"/>
          </rPr>
          <t>Introduzca un número con dos decimales como máximo</t>
        </r>
      </text>
    </comment>
    <comment ref="F176" authorId="2" shapeId="0" xr:uid="{4FD566FF-FA2E-44FB-8240-6907D1E9CA53}">
      <text>
        <r>
          <rPr>
            <sz val="11"/>
            <color theme="1"/>
            <rFont val="Calibri"/>
            <family val="2"/>
            <scheme val="minor"/>
          </rPr>
          <t>Monto calculado automáticamente por el sistema</t>
        </r>
      </text>
    </comment>
    <comment ref="A183" authorId="2" shapeId="0" xr:uid="{B8AA8CA8-6859-4870-82D9-FC77B4AE908C}">
      <text>
        <r>
          <rPr>
            <sz val="11"/>
            <color theme="1"/>
            <rFont val="Calibri"/>
            <family val="2"/>
            <scheme val="minor"/>
          </rPr>
          <t>Introducir un texto con el nombre o referencia de la contratación</t>
        </r>
      </text>
    </comment>
    <comment ref="B183" authorId="2" shapeId="0" xr:uid="{33B03207-77B4-4985-9EBF-7D411695E873}">
      <text>
        <r>
          <rPr>
            <sz val="11"/>
            <color theme="1"/>
            <rFont val="Calibri"/>
            <family val="2"/>
            <scheme val="minor"/>
          </rPr>
          <t>Introduzca un texto con la finalidad de la contratación</t>
        </r>
      </text>
    </comment>
    <comment ref="C183" authorId="2" shapeId="0" xr:uid="{CDDC6DCD-6BA8-4A61-AB4F-4A12D512679E}">
      <text>
        <r>
          <rPr>
            <sz val="11"/>
            <color theme="1"/>
            <rFont val="Calibri"/>
            <family val="2"/>
            <scheme val="minor"/>
          </rPr>
          <t>Seleccionar un valor del listado</t>
        </r>
      </text>
    </comment>
    <comment ref="D183" authorId="2" shapeId="0" xr:uid="{ECEFAE5C-850A-47CD-AFC1-5AC0F232A54D}">
      <text>
        <r>
          <rPr>
            <sz val="11"/>
            <color theme="1"/>
            <rFont val="Calibri"/>
            <family val="2"/>
            <scheme val="minor"/>
          </rPr>
          <t>Seleccione el tipo de procedimiento</t>
        </r>
      </text>
    </comment>
    <comment ref="E183" authorId="2" shapeId="0" xr:uid="{E1F7C9DA-1DF6-4448-BF3B-3C438F974248}">
      <text>
        <r>
          <rPr>
            <sz val="11"/>
            <color theme="1"/>
            <rFont val="Calibri"/>
            <family val="2"/>
            <scheme val="minor"/>
          </rPr>
          <t>Seleccione un valor de la lista</t>
        </r>
      </text>
    </comment>
    <comment ref="F183" authorId="2" shapeId="0" xr:uid="{930F6E15-D84F-4CC0-B556-6D7D9D03B0EF}">
      <text>
        <r>
          <rPr>
            <sz val="11"/>
            <color theme="1"/>
            <rFont val="Calibri"/>
            <family val="2"/>
            <scheme val="minor"/>
          </rPr>
          <t>Introduzca el código SNIP</t>
        </r>
      </text>
    </comment>
    <comment ref="C184" authorId="2" shapeId="0" xr:uid="{6FBEABEA-FA01-4646-AE8C-551B18949CF4}">
      <text>
        <r>
          <rPr>
            <sz val="11"/>
            <color theme="1"/>
            <rFont val="Calibri"/>
            <family val="2"/>
            <scheme val="minor"/>
          </rPr>
          <t>Introduzca la fecha de inicio del proceso, en formato dd-mm-aaaa</t>
        </r>
      </text>
    </comment>
    <comment ref="F184" authorId="2" shapeId="0" xr:uid="{72257EC0-4297-40D3-85DE-20AA36C2A5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2" shapeId="0" xr:uid="{5C7A1BC2-0DDD-47AC-96CE-15DF47C949F1}">
      <text/>
    </comment>
    <comment ref="C186" authorId="2" shapeId="0" xr:uid="{299AE409-AC13-4860-8EE0-EE10ED7199CC}">
      <text>
        <r>
          <rPr>
            <sz val="11"/>
            <color theme="1"/>
            <rFont val="Calibri"/>
            <family val="2"/>
            <scheme val="minor"/>
          </rPr>
          <t>Introduzca la fecha prevista de adjudicación, en formato dd-mm-aaaa</t>
        </r>
      </text>
    </comment>
    <comment ref="F186" authorId="2" shapeId="0" xr:uid="{E4EC1DA8-4FA3-4419-9968-EE9EE4AF4BBD}">
      <text/>
    </comment>
    <comment ref="F187" authorId="2" shapeId="0" xr:uid="{9AC630BD-960F-49D9-9EE4-600676CD03E4}">
      <text/>
    </comment>
    <comment ref="A189" authorId="2" shapeId="0" xr:uid="{7F127A84-9F46-4F10-89A7-CEB4492472F8}">
      <text>
        <r>
          <rPr>
            <sz val="11"/>
            <color theme="1"/>
            <rFont val="Calibri"/>
            <family val="2"/>
            <scheme val="minor"/>
          </rPr>
          <t>Introduzca un codigo UNSPSC</t>
        </r>
      </text>
    </comment>
    <comment ref="B189" authorId="2" shapeId="0" xr:uid="{9F3B82F8-A509-490D-B6F2-9DE1D754ADA8}">
      <text>
        <r>
          <rPr>
            <sz val="11"/>
            <color theme="1"/>
            <rFont val="Calibri"/>
            <family val="2"/>
            <scheme val="minor"/>
          </rPr>
          <t>Descripción calculada automáticamente a partir de código del artículo</t>
        </r>
      </text>
    </comment>
    <comment ref="C189" authorId="2" shapeId="0" xr:uid="{328AB456-1C50-4E9B-9E93-833541297D53}">
      <text>
        <r>
          <rPr>
            <sz val="11"/>
            <color theme="1"/>
            <rFont val="Calibri"/>
            <family val="2"/>
            <scheme val="minor"/>
          </rPr>
          <t>Seleccione un valor de la lista</t>
        </r>
      </text>
    </comment>
    <comment ref="D189" authorId="2" shapeId="0" xr:uid="{72E055C2-E43B-4B1A-8252-F5E7EC88E4ED}">
      <text>
        <r>
          <rPr>
            <sz val="11"/>
            <color theme="1"/>
            <rFont val="Calibri"/>
            <family val="2"/>
            <scheme val="minor"/>
          </rPr>
          <t>Introduzca un número con dos decimales como máximo. Debe ser igual o mayor a la "Cantidad Real Consumida"</t>
        </r>
      </text>
    </comment>
    <comment ref="E189" authorId="2" shapeId="0" xr:uid="{AD824DD9-1ADD-4A77-8F55-7D7F3A650312}">
      <text>
        <r>
          <rPr>
            <sz val="11"/>
            <color theme="1"/>
            <rFont val="Calibri"/>
            <family val="2"/>
            <scheme val="minor"/>
          </rPr>
          <t>Introduzca un número con dos decimales como máximo</t>
        </r>
      </text>
    </comment>
    <comment ref="F189" authorId="2" shapeId="0" xr:uid="{B8FC5BA1-1D65-4DC1-AC11-F7F940A5D872}">
      <text>
        <r>
          <rPr>
            <sz val="11"/>
            <color theme="1"/>
            <rFont val="Calibri"/>
            <family val="2"/>
            <scheme val="minor"/>
          </rPr>
          <t>Monto calculado automáticamente por el sistema</t>
        </r>
      </text>
    </comment>
    <comment ref="A196" authorId="2" shapeId="0" xr:uid="{E44C4813-F442-4C91-9179-DCF4AE03A482}">
      <text>
        <r>
          <rPr>
            <sz val="11"/>
            <color theme="1"/>
            <rFont val="Calibri"/>
            <family val="2"/>
            <scheme val="minor"/>
          </rPr>
          <t>Introducir un texto con el nombre o referencia de la contratación</t>
        </r>
      </text>
    </comment>
    <comment ref="B196" authorId="2" shapeId="0" xr:uid="{2A1CF0B2-E27C-468E-B2D6-4CC4FA534F6E}">
      <text>
        <r>
          <rPr>
            <sz val="11"/>
            <color theme="1"/>
            <rFont val="Calibri"/>
            <family val="2"/>
            <scheme val="minor"/>
          </rPr>
          <t>Introduzca un texto con la finalidad de la contratación</t>
        </r>
      </text>
    </comment>
    <comment ref="C196" authorId="2" shapeId="0" xr:uid="{49B0E6AD-9D87-4365-8C03-C653509BC543}">
      <text>
        <r>
          <rPr>
            <sz val="11"/>
            <color theme="1"/>
            <rFont val="Calibri"/>
            <family val="2"/>
            <scheme val="minor"/>
          </rPr>
          <t>Seleccionar un valor del listado</t>
        </r>
      </text>
    </comment>
    <comment ref="D196" authorId="2" shapeId="0" xr:uid="{9469D836-FDDB-4FD7-8EE4-21A45F1AAFEF}">
      <text>
        <r>
          <rPr>
            <sz val="11"/>
            <color theme="1"/>
            <rFont val="Calibri"/>
            <family val="2"/>
            <scheme val="minor"/>
          </rPr>
          <t>Seleccione el tipo de procedimiento</t>
        </r>
      </text>
    </comment>
    <comment ref="E196" authorId="2" shapeId="0" xr:uid="{9564BE16-65B9-4FB2-A1FB-94E5EC80CEF7}">
      <text>
        <r>
          <rPr>
            <sz val="11"/>
            <color theme="1"/>
            <rFont val="Calibri"/>
            <family val="2"/>
            <scheme val="minor"/>
          </rPr>
          <t>Seleccione un valor de la lista</t>
        </r>
      </text>
    </comment>
    <comment ref="F196" authorId="2" shapeId="0" xr:uid="{7A635BC3-E53E-4095-8DBD-1BBBBB88EE84}">
      <text>
        <r>
          <rPr>
            <sz val="11"/>
            <color theme="1"/>
            <rFont val="Calibri"/>
            <family val="2"/>
            <scheme val="minor"/>
          </rPr>
          <t>Introduzca el código SNIP</t>
        </r>
      </text>
    </comment>
    <comment ref="C197" authorId="2" shapeId="0" xr:uid="{F3B6F189-3809-47D6-9654-6A018C3E9447}">
      <text>
        <r>
          <rPr>
            <sz val="11"/>
            <color theme="1"/>
            <rFont val="Calibri"/>
            <family val="2"/>
            <scheme val="minor"/>
          </rPr>
          <t>Introduzca la fecha de inicio del proceso, en formato dd-mm-aaaa</t>
        </r>
      </text>
    </comment>
    <comment ref="F197" authorId="2" shapeId="0" xr:uid="{70E019D1-21BE-439E-B293-DB33BE23FE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2" shapeId="0" xr:uid="{26CC05B4-8CDB-407F-9C69-745D7414C594}">
      <text/>
    </comment>
    <comment ref="C199" authorId="2" shapeId="0" xr:uid="{41D4EF4E-A27D-4449-9430-2BEBD7BA197A}">
      <text>
        <r>
          <rPr>
            <sz val="11"/>
            <color theme="1"/>
            <rFont val="Calibri"/>
            <family val="2"/>
            <scheme val="minor"/>
          </rPr>
          <t>Introduzca la fecha prevista de adjudicación, en formato dd-mm-aaaa</t>
        </r>
      </text>
    </comment>
    <comment ref="F199" authorId="2" shapeId="0" xr:uid="{283B4EA5-AB31-4F5A-9B7D-C33E0BDD875C}">
      <text/>
    </comment>
    <comment ref="F200" authorId="2" shapeId="0" xr:uid="{17DDFF04-6256-4710-B4D3-B2961FC5ED1A}">
      <text/>
    </comment>
    <comment ref="A202" authorId="2" shapeId="0" xr:uid="{A92715D7-84D9-4502-8879-1E40C7696CB6}">
      <text>
        <r>
          <rPr>
            <sz val="11"/>
            <color theme="1"/>
            <rFont val="Calibri"/>
            <family val="2"/>
            <scheme val="minor"/>
          </rPr>
          <t>Introduzca un codigo UNSPSC</t>
        </r>
      </text>
    </comment>
    <comment ref="B202" authorId="2" shapeId="0" xr:uid="{D61D5C20-F527-479A-AE40-1A7AA8C08BB2}">
      <text>
        <r>
          <rPr>
            <sz val="11"/>
            <color theme="1"/>
            <rFont val="Calibri"/>
            <family val="2"/>
            <scheme val="minor"/>
          </rPr>
          <t>Descripción calculada automáticamente a partir de código del artículo</t>
        </r>
      </text>
    </comment>
    <comment ref="C202" authorId="2" shapeId="0" xr:uid="{BC584CB8-8907-4038-A2DD-C3375166E9BD}">
      <text>
        <r>
          <rPr>
            <sz val="11"/>
            <color theme="1"/>
            <rFont val="Calibri"/>
            <family val="2"/>
            <scheme val="minor"/>
          </rPr>
          <t>Seleccione un valor de la lista</t>
        </r>
      </text>
    </comment>
    <comment ref="D202" authorId="2" shapeId="0" xr:uid="{EF2C68F0-7A1A-47BE-AC82-88154451CC32}">
      <text>
        <r>
          <rPr>
            <sz val="11"/>
            <color theme="1"/>
            <rFont val="Calibri"/>
            <family val="2"/>
            <scheme val="minor"/>
          </rPr>
          <t>Introduzca un número con dos decimales como máximo. Debe ser igual o mayor a la "Cantidad Real Consumida"</t>
        </r>
      </text>
    </comment>
    <comment ref="E202" authorId="2" shapeId="0" xr:uid="{70745455-0648-4FB6-A7B9-5DAD00AADAAD}">
      <text>
        <r>
          <rPr>
            <sz val="11"/>
            <color theme="1"/>
            <rFont val="Calibri"/>
            <family val="2"/>
            <scheme val="minor"/>
          </rPr>
          <t>Introduzca un número con dos decimales como máximo</t>
        </r>
      </text>
    </comment>
    <comment ref="F202" authorId="2" shapeId="0" xr:uid="{85B88DF9-D16D-439B-9C2A-D11F83670481}">
      <text>
        <r>
          <rPr>
            <sz val="11"/>
            <color theme="1"/>
            <rFont val="Calibri"/>
            <family val="2"/>
            <scheme val="minor"/>
          </rPr>
          <t>Monto calculado automáticamente por el sistema</t>
        </r>
      </text>
    </comment>
    <comment ref="A207" authorId="2" shapeId="0" xr:uid="{06D74DBC-4A59-424D-ADFF-F6E5B824BF68}">
      <text>
        <r>
          <rPr>
            <sz val="11"/>
            <color theme="1"/>
            <rFont val="Calibri"/>
            <family val="2"/>
            <scheme val="minor"/>
          </rPr>
          <t>Introducir un texto con el nombre o referencia de la contratación</t>
        </r>
      </text>
    </comment>
    <comment ref="B207" authorId="2" shapeId="0" xr:uid="{B1883ECF-CACE-4865-8947-4FA751E2CFDE}">
      <text>
        <r>
          <rPr>
            <sz val="11"/>
            <color theme="1"/>
            <rFont val="Calibri"/>
            <family val="2"/>
            <scheme val="minor"/>
          </rPr>
          <t>Introduzca un texto con la finalidad de la contratación</t>
        </r>
      </text>
    </comment>
    <comment ref="C207" authorId="2" shapeId="0" xr:uid="{12E93592-0172-4CF4-A5E5-B5939965588A}">
      <text>
        <r>
          <rPr>
            <sz val="11"/>
            <color theme="1"/>
            <rFont val="Calibri"/>
            <family val="2"/>
            <scheme val="minor"/>
          </rPr>
          <t>Seleccionar un valor del listado</t>
        </r>
      </text>
    </comment>
    <comment ref="D207" authorId="2" shapeId="0" xr:uid="{EEBF6572-8CEE-4EB2-8EA1-41A3FDD16CC2}">
      <text>
        <r>
          <rPr>
            <sz val="11"/>
            <color theme="1"/>
            <rFont val="Calibri"/>
            <family val="2"/>
            <scheme val="minor"/>
          </rPr>
          <t>Seleccione el tipo de procedimiento</t>
        </r>
      </text>
    </comment>
    <comment ref="E207" authorId="2" shapeId="0" xr:uid="{63C29316-0D33-4B16-A287-586BDF11BDC3}">
      <text>
        <r>
          <rPr>
            <sz val="11"/>
            <color theme="1"/>
            <rFont val="Calibri"/>
            <family val="2"/>
            <scheme val="minor"/>
          </rPr>
          <t>Seleccione un valor de la lista</t>
        </r>
      </text>
    </comment>
    <comment ref="F207" authorId="2" shapeId="0" xr:uid="{65DDFAD5-5DBC-45AE-B0A2-E99C1F1C1635}">
      <text>
        <r>
          <rPr>
            <sz val="11"/>
            <color theme="1"/>
            <rFont val="Calibri"/>
            <family val="2"/>
            <scheme val="minor"/>
          </rPr>
          <t>Introduzca el código SNIP</t>
        </r>
      </text>
    </comment>
    <comment ref="C208" authorId="2" shapeId="0" xr:uid="{536E5E47-026B-4917-B890-8744CCC5C2CA}">
      <text>
        <r>
          <rPr>
            <sz val="11"/>
            <color theme="1"/>
            <rFont val="Calibri"/>
            <family val="2"/>
            <scheme val="minor"/>
          </rPr>
          <t>Introduzca la fecha de inicio del proceso, en formato dd-mm-aaaa</t>
        </r>
      </text>
    </comment>
    <comment ref="F208" authorId="2" shapeId="0" xr:uid="{AE4084FC-257D-4B25-9FA7-AB03771B94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2" shapeId="0" xr:uid="{4585BE7A-E97E-4449-92C4-D8D2DD2BB6AE}">
      <text/>
    </comment>
    <comment ref="C210" authorId="2" shapeId="0" xr:uid="{C60270E2-3ED0-4AFF-AD60-1B2C61B0A2DF}">
      <text>
        <r>
          <rPr>
            <sz val="11"/>
            <color theme="1"/>
            <rFont val="Calibri"/>
            <family val="2"/>
            <scheme val="minor"/>
          </rPr>
          <t>Introduzca la fecha prevista de adjudicación, en formato dd-mm-aaaa</t>
        </r>
      </text>
    </comment>
    <comment ref="F210" authorId="2" shapeId="0" xr:uid="{D36EBE1C-1A19-4208-9AD9-BD2CF6714B92}">
      <text/>
    </comment>
    <comment ref="F211" authorId="2" shapeId="0" xr:uid="{3FB2AB44-1B53-4DF2-8C30-62493E7FD483}">
      <text/>
    </comment>
    <comment ref="A213" authorId="2" shapeId="0" xr:uid="{C26B2CD6-9450-463D-94ED-9B205C47BD49}">
      <text>
        <r>
          <rPr>
            <sz val="11"/>
            <color theme="1"/>
            <rFont val="Calibri"/>
            <family val="2"/>
            <scheme val="minor"/>
          </rPr>
          <t>Introduzca un codigo UNSPSC</t>
        </r>
      </text>
    </comment>
    <comment ref="B213" authorId="2" shapeId="0" xr:uid="{3B57E46F-A22E-4E11-A014-E6C29F31F7E2}">
      <text>
        <r>
          <rPr>
            <sz val="11"/>
            <color theme="1"/>
            <rFont val="Calibri"/>
            <family val="2"/>
            <scheme val="minor"/>
          </rPr>
          <t>Descripción calculada automáticamente a partir de código del artículo</t>
        </r>
      </text>
    </comment>
    <comment ref="C213" authorId="2" shapeId="0" xr:uid="{2CDA2C02-B894-4079-AFF5-253652D19C13}">
      <text>
        <r>
          <rPr>
            <sz val="11"/>
            <color theme="1"/>
            <rFont val="Calibri"/>
            <family val="2"/>
            <scheme val="minor"/>
          </rPr>
          <t>Seleccione un valor de la lista</t>
        </r>
      </text>
    </comment>
    <comment ref="D213" authorId="2" shapeId="0" xr:uid="{FB30DDDB-6F2E-49D7-AF1F-44F0740D84B1}">
      <text>
        <r>
          <rPr>
            <sz val="11"/>
            <color theme="1"/>
            <rFont val="Calibri"/>
            <family val="2"/>
            <scheme val="minor"/>
          </rPr>
          <t>Introduzca un número con dos decimales como máximo. Debe ser igual o mayor a la "Cantidad Real Consumida"</t>
        </r>
      </text>
    </comment>
    <comment ref="E213" authorId="2" shapeId="0" xr:uid="{AF2128A5-DD46-4CF4-A9FC-CAD1BB04EB78}">
      <text>
        <r>
          <rPr>
            <sz val="11"/>
            <color theme="1"/>
            <rFont val="Calibri"/>
            <family val="2"/>
            <scheme val="minor"/>
          </rPr>
          <t>Introduzca un número con dos decimales como máximo</t>
        </r>
      </text>
    </comment>
    <comment ref="F213" authorId="2" shapeId="0" xr:uid="{FEFECA5D-0387-4299-9985-8AFD0150C93C}">
      <text>
        <r>
          <rPr>
            <sz val="11"/>
            <color theme="1"/>
            <rFont val="Calibri"/>
            <family val="2"/>
            <scheme val="minor"/>
          </rPr>
          <t>Monto calculado automáticamente por el sistema</t>
        </r>
      </text>
    </comment>
    <comment ref="A218" authorId="2" shapeId="0" xr:uid="{BFF51119-4D4C-41D8-ACF9-111FE098589E}">
      <text>
        <r>
          <rPr>
            <sz val="11"/>
            <color theme="1"/>
            <rFont val="Calibri"/>
            <family val="2"/>
            <scheme val="minor"/>
          </rPr>
          <t>Introducir un texto con el nombre o referencia de la contratación</t>
        </r>
      </text>
    </comment>
    <comment ref="B218" authorId="2" shapeId="0" xr:uid="{CA6A11C7-FB11-4C76-9530-B93F22EEBBFD}">
      <text>
        <r>
          <rPr>
            <sz val="11"/>
            <color theme="1"/>
            <rFont val="Calibri"/>
            <family val="2"/>
            <scheme val="minor"/>
          </rPr>
          <t>Introduzca un texto con la finalidad de la contratación</t>
        </r>
      </text>
    </comment>
    <comment ref="C218" authorId="2" shapeId="0" xr:uid="{1BCD0CDF-9EB6-4F3E-8E85-D40ECE9F8664}">
      <text>
        <r>
          <rPr>
            <sz val="11"/>
            <color theme="1"/>
            <rFont val="Calibri"/>
            <family val="2"/>
            <scheme val="minor"/>
          </rPr>
          <t>Seleccionar un valor del listado</t>
        </r>
      </text>
    </comment>
    <comment ref="D218" authorId="2" shapeId="0" xr:uid="{CE6C9A7C-15DD-4387-8175-EBAB7170381E}">
      <text>
        <r>
          <rPr>
            <sz val="11"/>
            <color theme="1"/>
            <rFont val="Calibri"/>
            <family val="2"/>
            <scheme val="minor"/>
          </rPr>
          <t>Seleccione el tipo de procedimiento</t>
        </r>
      </text>
    </comment>
    <comment ref="E218" authorId="2" shapeId="0" xr:uid="{B819ECD5-9273-49F2-8FD9-BDB32F074B60}">
      <text>
        <r>
          <rPr>
            <sz val="11"/>
            <color theme="1"/>
            <rFont val="Calibri"/>
            <family val="2"/>
            <scheme val="minor"/>
          </rPr>
          <t>Seleccione un valor de la lista</t>
        </r>
      </text>
    </comment>
    <comment ref="F218" authorId="2" shapeId="0" xr:uid="{196C5E46-7003-4666-AFF6-9C9AA0D1EF72}">
      <text>
        <r>
          <rPr>
            <sz val="11"/>
            <color theme="1"/>
            <rFont val="Calibri"/>
            <family val="2"/>
            <scheme val="minor"/>
          </rPr>
          <t>Introduzca el código SNIP</t>
        </r>
      </text>
    </comment>
    <comment ref="C219" authorId="2" shapeId="0" xr:uid="{BD1C3392-943A-4881-971A-E1E4526A1336}">
      <text>
        <r>
          <rPr>
            <sz val="11"/>
            <color theme="1"/>
            <rFont val="Calibri"/>
            <family val="2"/>
            <scheme val="minor"/>
          </rPr>
          <t>Introduzca la fecha de inicio del proceso, en formato dd-mm-aaaa</t>
        </r>
      </text>
    </comment>
    <comment ref="F219" authorId="2" shapeId="0" xr:uid="{0928B9C2-B45E-4226-B82E-869ACE901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xr:uid="{7837D3FA-4125-4500-957B-85EBB4E49C20}">
      <text/>
    </comment>
    <comment ref="C221" authorId="2" shapeId="0" xr:uid="{27726020-7226-48A4-8269-60345C68672A}">
      <text>
        <r>
          <rPr>
            <sz val="11"/>
            <color theme="1"/>
            <rFont val="Calibri"/>
            <family val="2"/>
            <scheme val="minor"/>
          </rPr>
          <t>Introduzca la fecha prevista de adjudicación, en formato dd-mm-aaaa</t>
        </r>
      </text>
    </comment>
    <comment ref="F221" authorId="2" shapeId="0" xr:uid="{21DC234F-4BAA-47B0-BB64-EC79C0266458}">
      <text/>
    </comment>
    <comment ref="F222" authorId="2" shapeId="0" xr:uid="{EFFCB921-EAD5-43B2-952A-9F9304BB7758}">
      <text/>
    </comment>
    <comment ref="A224" authorId="2" shapeId="0" xr:uid="{ACF5230E-0178-4D05-B0D3-BE7C5D5B0189}">
      <text>
        <r>
          <rPr>
            <sz val="11"/>
            <color theme="1"/>
            <rFont val="Calibri"/>
            <family val="2"/>
            <scheme val="minor"/>
          </rPr>
          <t>Introduzca un codigo UNSPSC</t>
        </r>
      </text>
    </comment>
    <comment ref="B224" authorId="2" shapeId="0" xr:uid="{CB3497E1-21C5-4896-97B1-A72C08708B15}">
      <text>
        <r>
          <rPr>
            <sz val="11"/>
            <color theme="1"/>
            <rFont val="Calibri"/>
            <family val="2"/>
            <scheme val="minor"/>
          </rPr>
          <t>Descripción calculada automáticamente a partir de código del artículo</t>
        </r>
      </text>
    </comment>
    <comment ref="C224" authorId="2" shapeId="0" xr:uid="{F342A168-39C0-4166-8E23-BD099237E055}">
      <text>
        <r>
          <rPr>
            <sz val="11"/>
            <color theme="1"/>
            <rFont val="Calibri"/>
            <family val="2"/>
            <scheme val="minor"/>
          </rPr>
          <t>Seleccione un valor de la lista</t>
        </r>
      </text>
    </comment>
    <comment ref="D224" authorId="2" shapeId="0" xr:uid="{FD113E07-8159-4466-BF9D-5C51E233F1AF}">
      <text>
        <r>
          <rPr>
            <sz val="11"/>
            <color theme="1"/>
            <rFont val="Calibri"/>
            <family val="2"/>
            <scheme val="minor"/>
          </rPr>
          <t>Introduzca un número con dos decimales como máximo. Debe ser igual o mayor a la "Cantidad Real Consumida"</t>
        </r>
      </text>
    </comment>
    <comment ref="E224" authorId="2" shapeId="0" xr:uid="{06B526B9-35F9-464F-AE58-DAB79EE711CC}">
      <text>
        <r>
          <rPr>
            <sz val="11"/>
            <color theme="1"/>
            <rFont val="Calibri"/>
            <family val="2"/>
            <scheme val="minor"/>
          </rPr>
          <t>Introduzca un número con dos decimales como máximo</t>
        </r>
      </text>
    </comment>
    <comment ref="F224" authorId="2" shapeId="0" xr:uid="{34AB2604-BB40-486D-A01E-C52458F019CC}">
      <text>
        <r>
          <rPr>
            <sz val="11"/>
            <color theme="1"/>
            <rFont val="Calibri"/>
            <family val="2"/>
            <scheme val="minor"/>
          </rPr>
          <t>Monto calculado automáticamente por el sistema</t>
        </r>
      </text>
    </comment>
    <comment ref="A229" authorId="2" shapeId="0" xr:uid="{74B977D1-49F7-45AA-A982-551BBD8BCA8E}">
      <text>
        <r>
          <rPr>
            <sz val="11"/>
            <color theme="1"/>
            <rFont val="Calibri"/>
            <family val="2"/>
            <scheme val="minor"/>
          </rPr>
          <t>Introducir un texto con el nombre o referencia de la contratación</t>
        </r>
      </text>
    </comment>
    <comment ref="B229" authorId="2" shapeId="0" xr:uid="{72987919-B741-4311-BD3A-3884D5615EBD}">
      <text>
        <r>
          <rPr>
            <sz val="11"/>
            <color theme="1"/>
            <rFont val="Calibri"/>
            <family val="2"/>
            <scheme val="minor"/>
          </rPr>
          <t>Introduzca un texto con la finalidad de la contratación</t>
        </r>
      </text>
    </comment>
    <comment ref="C229" authorId="2" shapeId="0" xr:uid="{F981F881-22D2-4D6A-AEAC-B2E2E2FA6479}">
      <text>
        <r>
          <rPr>
            <sz val="11"/>
            <color theme="1"/>
            <rFont val="Calibri"/>
            <family val="2"/>
            <scheme val="minor"/>
          </rPr>
          <t>Seleccionar un valor del listado</t>
        </r>
      </text>
    </comment>
    <comment ref="D229" authorId="2" shapeId="0" xr:uid="{D9592BA7-84FE-4A30-93F0-9DBDE6BF6DC9}">
      <text>
        <r>
          <rPr>
            <sz val="11"/>
            <color theme="1"/>
            <rFont val="Calibri"/>
            <family val="2"/>
            <scheme val="minor"/>
          </rPr>
          <t>Seleccione el tipo de procedimiento</t>
        </r>
      </text>
    </comment>
    <comment ref="E229" authorId="2" shapeId="0" xr:uid="{137076AB-B32B-41F2-8E76-A8A34E60F449}">
      <text>
        <r>
          <rPr>
            <sz val="11"/>
            <color theme="1"/>
            <rFont val="Calibri"/>
            <family val="2"/>
            <scheme val="minor"/>
          </rPr>
          <t>Seleccione un valor de la lista</t>
        </r>
      </text>
    </comment>
    <comment ref="F229" authorId="2" shapeId="0" xr:uid="{5FC5E167-9C82-4929-83DE-522BC3C9D4D0}">
      <text>
        <r>
          <rPr>
            <sz val="11"/>
            <color theme="1"/>
            <rFont val="Calibri"/>
            <family val="2"/>
            <scheme val="minor"/>
          </rPr>
          <t>Introduzca el código SNIP</t>
        </r>
      </text>
    </comment>
    <comment ref="C230" authorId="2" shapeId="0" xr:uid="{A450FF56-DDA0-4190-8EBD-CD2680CACDA9}">
      <text>
        <r>
          <rPr>
            <sz val="11"/>
            <color theme="1"/>
            <rFont val="Calibri"/>
            <family val="2"/>
            <scheme val="minor"/>
          </rPr>
          <t>Introduzca la fecha de inicio del proceso, en formato dd-mm-aaaa</t>
        </r>
      </text>
    </comment>
    <comment ref="F230" authorId="2" shapeId="0" xr:uid="{784BE3B8-0444-4F24-A8CE-F6E5DCE709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2" shapeId="0" xr:uid="{C156666B-F422-4DF9-A0C0-0C2F5B97004D}">
      <text/>
    </comment>
    <comment ref="C232" authorId="2" shapeId="0" xr:uid="{7D774599-B7FE-480A-AD13-5073BA21B227}">
      <text>
        <r>
          <rPr>
            <sz val="11"/>
            <color theme="1"/>
            <rFont val="Calibri"/>
            <family val="2"/>
            <scheme val="minor"/>
          </rPr>
          <t>Introduzca la fecha prevista de adjudicación, en formato dd-mm-aaaa</t>
        </r>
      </text>
    </comment>
    <comment ref="F232" authorId="2" shapeId="0" xr:uid="{B5434E8B-58F5-401B-8DED-128B4240368B}">
      <text/>
    </comment>
    <comment ref="F233" authorId="2" shapeId="0" xr:uid="{36B9DDB1-EC28-4CF7-990A-1442D29B4C88}">
      <text/>
    </comment>
    <comment ref="A235" authorId="2" shapeId="0" xr:uid="{395ECD0A-5C00-4D9D-AA83-3B594DF711E7}">
      <text>
        <r>
          <rPr>
            <sz val="11"/>
            <color theme="1"/>
            <rFont val="Calibri"/>
            <family val="2"/>
            <scheme val="minor"/>
          </rPr>
          <t>Introduzca un codigo UNSPSC</t>
        </r>
      </text>
    </comment>
    <comment ref="B235" authorId="2" shapeId="0" xr:uid="{8325AF6E-50BB-4E8D-8588-0B340C32C6B9}">
      <text>
        <r>
          <rPr>
            <sz val="11"/>
            <color theme="1"/>
            <rFont val="Calibri"/>
            <family val="2"/>
            <scheme val="minor"/>
          </rPr>
          <t>Descripción calculada automáticamente a partir de código del artículo</t>
        </r>
      </text>
    </comment>
    <comment ref="C235" authorId="2" shapeId="0" xr:uid="{F30A1693-84A9-4E70-82B0-34B0FB8F2F59}">
      <text>
        <r>
          <rPr>
            <sz val="11"/>
            <color theme="1"/>
            <rFont val="Calibri"/>
            <family val="2"/>
            <scheme val="minor"/>
          </rPr>
          <t>Seleccione un valor de la lista</t>
        </r>
      </text>
    </comment>
    <comment ref="D235" authorId="2" shapeId="0" xr:uid="{1CD1EC56-2395-4B9E-BFB8-5AC092A38F1A}">
      <text>
        <r>
          <rPr>
            <sz val="11"/>
            <color theme="1"/>
            <rFont val="Calibri"/>
            <family val="2"/>
            <scheme val="minor"/>
          </rPr>
          <t>Introduzca un número con dos decimales como máximo. Debe ser igual o mayor a la "Cantidad Real Consumida"</t>
        </r>
      </text>
    </comment>
    <comment ref="E235" authorId="2" shapeId="0" xr:uid="{462C6503-B567-43A7-AD40-CF639AC04257}">
      <text>
        <r>
          <rPr>
            <sz val="11"/>
            <color theme="1"/>
            <rFont val="Calibri"/>
            <family val="2"/>
            <scheme val="minor"/>
          </rPr>
          <t>Introduzca un número con dos decimales como máximo</t>
        </r>
      </text>
    </comment>
    <comment ref="F235" authorId="2" shapeId="0" xr:uid="{1CDD5561-C1ED-4FD3-BE84-18906212D6EA}">
      <text>
        <r>
          <rPr>
            <sz val="11"/>
            <color theme="1"/>
            <rFont val="Calibri"/>
            <family val="2"/>
            <scheme val="minor"/>
          </rPr>
          <t>Monto calculado automáticamente por el sistema</t>
        </r>
      </text>
    </comment>
    <comment ref="A240" authorId="2" shapeId="0" xr:uid="{19AF9F20-F9EB-4752-A8F0-2850D7F2E39E}">
      <text>
        <r>
          <rPr>
            <sz val="11"/>
            <color theme="1"/>
            <rFont val="Calibri"/>
            <family val="2"/>
            <scheme val="minor"/>
          </rPr>
          <t>Introducir un texto con el nombre o referencia de la contratación</t>
        </r>
      </text>
    </comment>
    <comment ref="B240" authorId="2" shapeId="0" xr:uid="{A4CA422E-5D5C-4F16-AC3C-7BF2BE4D47B2}">
      <text>
        <r>
          <rPr>
            <sz val="11"/>
            <color theme="1"/>
            <rFont val="Calibri"/>
            <family val="2"/>
            <scheme val="minor"/>
          </rPr>
          <t>Introduzca un texto con la finalidad de la contratación</t>
        </r>
      </text>
    </comment>
    <comment ref="C240" authorId="2" shapeId="0" xr:uid="{DD5B6AA9-4249-4B87-8C00-F61228419A7E}">
      <text>
        <r>
          <rPr>
            <sz val="11"/>
            <color theme="1"/>
            <rFont val="Calibri"/>
            <family val="2"/>
            <scheme val="minor"/>
          </rPr>
          <t>Seleccionar un valor del listado</t>
        </r>
      </text>
    </comment>
    <comment ref="D240" authorId="2" shapeId="0" xr:uid="{ADD4C530-ABFF-4FF4-B34E-C590A6D5AEC7}">
      <text>
        <r>
          <rPr>
            <sz val="11"/>
            <color theme="1"/>
            <rFont val="Calibri"/>
            <family val="2"/>
            <scheme val="minor"/>
          </rPr>
          <t>Seleccione el tipo de procedimiento</t>
        </r>
      </text>
    </comment>
    <comment ref="E240" authorId="2" shapeId="0" xr:uid="{28E5B828-0390-4BA5-A34E-99E43697F194}">
      <text>
        <r>
          <rPr>
            <sz val="11"/>
            <color theme="1"/>
            <rFont val="Calibri"/>
            <family val="2"/>
            <scheme val="minor"/>
          </rPr>
          <t>Seleccione un valor de la lista</t>
        </r>
      </text>
    </comment>
    <comment ref="F240" authorId="2" shapeId="0" xr:uid="{E656202B-55D1-4FBB-B04A-530D9A8B5E7E}">
      <text>
        <r>
          <rPr>
            <sz val="11"/>
            <color theme="1"/>
            <rFont val="Calibri"/>
            <family val="2"/>
            <scheme val="minor"/>
          </rPr>
          <t>Introduzca el código SNIP</t>
        </r>
      </text>
    </comment>
    <comment ref="C241" authorId="2" shapeId="0" xr:uid="{D76C1AE2-E7CE-4B6B-99C0-D4C80EFAF0E3}">
      <text>
        <r>
          <rPr>
            <sz val="11"/>
            <color theme="1"/>
            <rFont val="Calibri"/>
            <family val="2"/>
            <scheme val="minor"/>
          </rPr>
          <t>Introduzca la fecha de inicio del proceso, en formato dd-mm-aaaa</t>
        </r>
      </text>
    </comment>
    <comment ref="F241" authorId="2" shapeId="0" xr:uid="{89606BF3-CC52-4610-A627-C31EA4AF42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2" shapeId="0" xr:uid="{CD33924C-C59A-4C3B-A8B9-4A9815277646}">
      <text/>
    </comment>
    <comment ref="C243" authorId="2" shapeId="0" xr:uid="{3B0045E4-0CA1-4D0D-B743-6893AD4D1697}">
      <text>
        <r>
          <rPr>
            <sz val="11"/>
            <color theme="1"/>
            <rFont val="Calibri"/>
            <family val="2"/>
            <scheme val="minor"/>
          </rPr>
          <t>Introduzca la fecha prevista de adjudicación, en formato dd-mm-aaaa</t>
        </r>
      </text>
    </comment>
    <comment ref="F243" authorId="2" shapeId="0" xr:uid="{6BD7007A-310C-4E74-A9B9-D01EE879E1DE}">
      <text/>
    </comment>
    <comment ref="F244" authorId="2" shapeId="0" xr:uid="{6184BDD3-172A-434F-A52B-F9A0647FD7B0}">
      <text/>
    </comment>
    <comment ref="A246" authorId="2" shapeId="0" xr:uid="{B4B3F1E7-BB56-4611-B38B-00326208B076}">
      <text>
        <r>
          <rPr>
            <sz val="11"/>
            <color theme="1"/>
            <rFont val="Calibri"/>
            <family val="2"/>
            <scheme val="minor"/>
          </rPr>
          <t>Introduzca un codigo UNSPSC</t>
        </r>
      </text>
    </comment>
    <comment ref="B246" authorId="2" shapeId="0" xr:uid="{CFD6C4BB-E1DC-4D0D-9CB3-BCD326F31538}">
      <text>
        <r>
          <rPr>
            <sz val="11"/>
            <color theme="1"/>
            <rFont val="Calibri"/>
            <family val="2"/>
            <scheme val="minor"/>
          </rPr>
          <t>Descripción calculada automáticamente a partir de código del artículo</t>
        </r>
      </text>
    </comment>
    <comment ref="C246" authorId="2" shapeId="0" xr:uid="{A50E635D-8CA5-402B-AC40-EAE854DBD05B}">
      <text>
        <r>
          <rPr>
            <sz val="11"/>
            <color theme="1"/>
            <rFont val="Calibri"/>
            <family val="2"/>
            <scheme val="minor"/>
          </rPr>
          <t>Seleccione un valor de la lista</t>
        </r>
      </text>
    </comment>
    <comment ref="D246" authorId="2" shapeId="0" xr:uid="{3A8F991A-B788-41F2-BE5E-2B33CC6A8246}">
      <text>
        <r>
          <rPr>
            <sz val="11"/>
            <color theme="1"/>
            <rFont val="Calibri"/>
            <family val="2"/>
            <scheme val="minor"/>
          </rPr>
          <t>Introduzca un número con dos decimales como máximo. Debe ser igual o mayor a la "Cantidad Real Consumida"</t>
        </r>
      </text>
    </comment>
    <comment ref="E246" authorId="2" shapeId="0" xr:uid="{70EC9D7F-8F92-4121-A008-D5784912364B}">
      <text>
        <r>
          <rPr>
            <sz val="11"/>
            <color theme="1"/>
            <rFont val="Calibri"/>
            <family val="2"/>
            <scheme val="minor"/>
          </rPr>
          <t>Introduzca un número con dos decimales como máximo</t>
        </r>
      </text>
    </comment>
    <comment ref="F246" authorId="2" shapeId="0" xr:uid="{E880F53F-66F2-4FF4-A857-83DCA9059DFC}">
      <text>
        <r>
          <rPr>
            <sz val="11"/>
            <color theme="1"/>
            <rFont val="Calibri"/>
            <family val="2"/>
            <scheme val="minor"/>
          </rPr>
          <t>Monto calculado automáticamente por el sistema</t>
        </r>
      </text>
    </comment>
    <comment ref="A251" authorId="2" shapeId="0" xr:uid="{93E9EDC8-601B-4B25-B2E2-12A262978B2D}">
      <text>
        <r>
          <rPr>
            <sz val="11"/>
            <color theme="1"/>
            <rFont val="Calibri"/>
            <family val="2"/>
            <scheme val="minor"/>
          </rPr>
          <t>Introducir un texto con el nombre o referencia de la contratación</t>
        </r>
      </text>
    </comment>
    <comment ref="B251" authorId="2" shapeId="0" xr:uid="{2197FA7A-AA58-4D80-B61D-DC14F3561626}">
      <text>
        <r>
          <rPr>
            <sz val="11"/>
            <color theme="1"/>
            <rFont val="Calibri"/>
            <family val="2"/>
            <scheme val="minor"/>
          </rPr>
          <t>Introduzca un texto con la finalidad de la contratación</t>
        </r>
      </text>
    </comment>
    <comment ref="C251" authorId="2" shapeId="0" xr:uid="{B21FDCB8-D9AC-4FFF-9704-AA70A02F9CE6}">
      <text>
        <r>
          <rPr>
            <sz val="11"/>
            <color theme="1"/>
            <rFont val="Calibri"/>
            <family val="2"/>
            <scheme val="minor"/>
          </rPr>
          <t>Seleccionar un valor del listado</t>
        </r>
      </text>
    </comment>
    <comment ref="D251" authorId="2" shapeId="0" xr:uid="{FF0222BE-E33C-497D-A278-DF6014232EE2}">
      <text>
        <r>
          <rPr>
            <sz val="11"/>
            <color theme="1"/>
            <rFont val="Calibri"/>
            <family val="2"/>
            <scheme val="minor"/>
          </rPr>
          <t>Seleccione el tipo de procedimiento</t>
        </r>
      </text>
    </comment>
    <comment ref="E251" authorId="2" shapeId="0" xr:uid="{0B2EB3F9-DA37-466F-8D54-7DF9DECD36D3}">
      <text>
        <r>
          <rPr>
            <sz val="11"/>
            <color theme="1"/>
            <rFont val="Calibri"/>
            <family val="2"/>
            <scheme val="minor"/>
          </rPr>
          <t>Seleccione un valor de la lista</t>
        </r>
      </text>
    </comment>
    <comment ref="F251" authorId="2" shapeId="0" xr:uid="{EF5F4C3F-66FA-4EBA-96ED-ADE78E40ED24}">
      <text>
        <r>
          <rPr>
            <sz val="11"/>
            <color theme="1"/>
            <rFont val="Calibri"/>
            <family val="2"/>
            <scheme val="minor"/>
          </rPr>
          <t>Introduzca el código SNIP</t>
        </r>
      </text>
    </comment>
    <comment ref="C252" authorId="2" shapeId="0" xr:uid="{3905DC57-C13A-4D1C-A9A3-AA6D30942308}">
      <text>
        <r>
          <rPr>
            <sz val="11"/>
            <color theme="1"/>
            <rFont val="Calibri"/>
            <family val="2"/>
            <scheme val="minor"/>
          </rPr>
          <t>Introduzca la fecha de inicio del proceso, en formato dd-mm-aaaa</t>
        </r>
      </text>
    </comment>
    <comment ref="F252" authorId="2" shapeId="0" xr:uid="{83A8B45A-51E3-40C7-B150-B995804AFB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2" shapeId="0" xr:uid="{CEF8B6C9-4F39-4190-A200-AB9B17AAE7D5}">
      <text/>
    </comment>
    <comment ref="C254" authorId="2" shapeId="0" xr:uid="{3406A08C-B4CA-4BDD-8CDC-80F5F7C6A3F5}">
      <text>
        <r>
          <rPr>
            <sz val="11"/>
            <color theme="1"/>
            <rFont val="Calibri"/>
            <family val="2"/>
            <scheme val="minor"/>
          </rPr>
          <t>Introduzca la fecha prevista de adjudicación, en formato dd-mm-aaaa</t>
        </r>
      </text>
    </comment>
    <comment ref="F254" authorId="2" shapeId="0" xr:uid="{2F8D334A-F8A8-42EE-8D71-8107BDF19E04}">
      <text/>
    </comment>
    <comment ref="F255" authorId="2" shapeId="0" xr:uid="{AA7AC85E-521B-496D-9189-580924DA909F}">
      <text/>
    </comment>
    <comment ref="A257" authorId="2" shapeId="0" xr:uid="{607208A1-F694-4EA4-A066-275A212ABD33}">
      <text>
        <r>
          <rPr>
            <sz val="11"/>
            <color theme="1"/>
            <rFont val="Calibri"/>
            <family val="2"/>
            <scheme val="minor"/>
          </rPr>
          <t>Introduzca un codigo UNSPSC</t>
        </r>
      </text>
    </comment>
    <comment ref="B257" authorId="2" shapeId="0" xr:uid="{4FD08507-8677-466C-BED5-9DDF32A01294}">
      <text>
        <r>
          <rPr>
            <sz val="11"/>
            <color theme="1"/>
            <rFont val="Calibri"/>
            <family val="2"/>
            <scheme val="minor"/>
          </rPr>
          <t>Descripción calculada automáticamente a partir de código del artículo</t>
        </r>
      </text>
    </comment>
    <comment ref="C257" authorId="2" shapeId="0" xr:uid="{5AEE5E5B-2487-4797-8255-4F37C4F44186}">
      <text>
        <r>
          <rPr>
            <sz val="11"/>
            <color theme="1"/>
            <rFont val="Calibri"/>
            <family val="2"/>
            <scheme val="minor"/>
          </rPr>
          <t>Seleccione un valor de la lista</t>
        </r>
      </text>
    </comment>
    <comment ref="D257" authorId="2" shapeId="0" xr:uid="{44844A62-56E2-4735-A2F5-BD08AD299BB4}">
      <text>
        <r>
          <rPr>
            <sz val="11"/>
            <color theme="1"/>
            <rFont val="Calibri"/>
            <family val="2"/>
            <scheme val="minor"/>
          </rPr>
          <t>Introduzca un número con dos decimales como máximo. Debe ser igual o mayor a la "Cantidad Real Consumida"</t>
        </r>
      </text>
    </comment>
    <comment ref="E257" authorId="2" shapeId="0" xr:uid="{0695D588-7E4B-4DC3-BAB4-66150B498DD8}">
      <text>
        <r>
          <rPr>
            <sz val="11"/>
            <color theme="1"/>
            <rFont val="Calibri"/>
            <family val="2"/>
            <scheme val="minor"/>
          </rPr>
          <t>Introduzca un número con dos decimales como máximo</t>
        </r>
      </text>
    </comment>
    <comment ref="F257" authorId="2" shapeId="0" xr:uid="{89ADFF6E-E0FE-4218-A522-C38032806044}">
      <text>
        <r>
          <rPr>
            <sz val="11"/>
            <color theme="1"/>
            <rFont val="Calibri"/>
            <family val="2"/>
            <scheme val="minor"/>
          </rPr>
          <t>Monto calculado automáticamente por el sistema</t>
        </r>
      </text>
    </comment>
    <comment ref="A262" authorId="2" shapeId="0" xr:uid="{326E1BC7-AEEC-413C-BADE-E04FCFAF5162}">
      <text>
        <r>
          <rPr>
            <sz val="11"/>
            <color theme="1"/>
            <rFont val="Calibri"/>
            <family val="2"/>
            <scheme val="minor"/>
          </rPr>
          <t>Introducir un texto con el nombre o referencia de la contratación</t>
        </r>
      </text>
    </comment>
    <comment ref="B262" authorId="2" shapeId="0" xr:uid="{D0B234EB-A1EE-45EB-B42D-2373FECAB988}">
      <text>
        <r>
          <rPr>
            <sz val="11"/>
            <color theme="1"/>
            <rFont val="Calibri"/>
            <family val="2"/>
            <scheme val="minor"/>
          </rPr>
          <t>Introduzca un texto con la finalidad de la contratación</t>
        </r>
      </text>
    </comment>
    <comment ref="C262" authorId="2" shapeId="0" xr:uid="{98C14FEF-B3D7-4FA4-B3D4-0C42507D1783}">
      <text>
        <r>
          <rPr>
            <sz val="11"/>
            <color theme="1"/>
            <rFont val="Calibri"/>
            <family val="2"/>
            <scheme val="minor"/>
          </rPr>
          <t>Seleccionar un valor del listado</t>
        </r>
      </text>
    </comment>
    <comment ref="D262" authorId="2" shapeId="0" xr:uid="{CB228A91-0C19-485B-8383-CF4CDE1D4560}">
      <text>
        <r>
          <rPr>
            <sz val="11"/>
            <color theme="1"/>
            <rFont val="Calibri"/>
            <family val="2"/>
            <scheme val="minor"/>
          </rPr>
          <t>Seleccione el tipo de procedimiento</t>
        </r>
      </text>
    </comment>
    <comment ref="E262" authorId="2" shapeId="0" xr:uid="{576EFBB3-A242-42CA-95F2-93E5DE2F1154}">
      <text>
        <r>
          <rPr>
            <sz val="11"/>
            <color theme="1"/>
            <rFont val="Calibri"/>
            <family val="2"/>
            <scheme val="minor"/>
          </rPr>
          <t>Seleccione un valor de la lista</t>
        </r>
      </text>
    </comment>
    <comment ref="F262" authorId="2" shapeId="0" xr:uid="{16A15776-A3BB-4379-AD04-E1F98EB2BD29}">
      <text>
        <r>
          <rPr>
            <sz val="11"/>
            <color theme="1"/>
            <rFont val="Calibri"/>
            <family val="2"/>
            <scheme val="minor"/>
          </rPr>
          <t>Introduzca el código SNIP</t>
        </r>
      </text>
    </comment>
    <comment ref="C263" authorId="2" shapeId="0" xr:uid="{2101072A-0032-4BC2-A395-AE156E9E9BFC}">
      <text>
        <r>
          <rPr>
            <sz val="11"/>
            <color theme="1"/>
            <rFont val="Calibri"/>
            <family val="2"/>
            <scheme val="minor"/>
          </rPr>
          <t>Introduzca la fecha de inicio del proceso, en formato dd-mm-aaaa</t>
        </r>
      </text>
    </comment>
    <comment ref="F263" authorId="2" shapeId="0" xr:uid="{D43CD108-7A64-4D77-A16F-7D22DC0698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2" shapeId="0" xr:uid="{451DAE1C-7434-49F9-9241-B3FA8530F1D7}">
      <text/>
    </comment>
    <comment ref="C265" authorId="2" shapeId="0" xr:uid="{25B96977-07EB-41D0-88FC-8669BA9617C8}">
      <text>
        <r>
          <rPr>
            <sz val="11"/>
            <color theme="1"/>
            <rFont val="Calibri"/>
            <family val="2"/>
            <scheme val="minor"/>
          </rPr>
          <t>Introduzca la fecha prevista de adjudicación, en formato dd-mm-aaaa</t>
        </r>
      </text>
    </comment>
    <comment ref="F265" authorId="2" shapeId="0" xr:uid="{438770DC-3B21-43D7-9BC9-01DB18767B64}">
      <text/>
    </comment>
    <comment ref="F266" authorId="2" shapeId="0" xr:uid="{2B2CC9F7-3286-41CA-92EF-41EF6FDF9EE3}">
      <text/>
    </comment>
    <comment ref="A268" authorId="2" shapeId="0" xr:uid="{695FD67B-C6C8-4AAC-B5D8-E446D986C8C2}">
      <text>
        <r>
          <rPr>
            <sz val="11"/>
            <color theme="1"/>
            <rFont val="Calibri"/>
            <family val="2"/>
            <scheme val="minor"/>
          </rPr>
          <t>Introduzca un codigo UNSPSC</t>
        </r>
      </text>
    </comment>
    <comment ref="B268" authorId="2" shapeId="0" xr:uid="{62AE6DFB-1575-4F0B-B5A6-4CAF19CFBFD2}">
      <text>
        <r>
          <rPr>
            <sz val="11"/>
            <color theme="1"/>
            <rFont val="Calibri"/>
            <family val="2"/>
            <scheme val="minor"/>
          </rPr>
          <t>Descripción calculada automáticamente a partir de código del artículo</t>
        </r>
      </text>
    </comment>
    <comment ref="C268" authorId="2" shapeId="0" xr:uid="{69E45C61-8067-4618-995C-B9AABFE1F435}">
      <text>
        <r>
          <rPr>
            <sz val="11"/>
            <color theme="1"/>
            <rFont val="Calibri"/>
            <family val="2"/>
            <scheme val="minor"/>
          </rPr>
          <t>Seleccione un valor de la lista</t>
        </r>
      </text>
    </comment>
    <comment ref="D268" authorId="2" shapeId="0" xr:uid="{1329F76B-BC9B-4407-A8A3-BF684A6CB1E2}">
      <text>
        <r>
          <rPr>
            <sz val="11"/>
            <color theme="1"/>
            <rFont val="Calibri"/>
            <family val="2"/>
            <scheme val="minor"/>
          </rPr>
          <t>Introduzca un número con dos decimales como máximo. Debe ser igual o mayor a la "Cantidad Real Consumida"</t>
        </r>
      </text>
    </comment>
    <comment ref="E268" authorId="2" shapeId="0" xr:uid="{B06E6C1C-B039-44F3-B3DB-DD366B9099CA}">
      <text>
        <r>
          <rPr>
            <sz val="11"/>
            <color theme="1"/>
            <rFont val="Calibri"/>
            <family val="2"/>
            <scheme val="minor"/>
          </rPr>
          <t>Introduzca un número con dos decimales como máximo</t>
        </r>
      </text>
    </comment>
    <comment ref="F268" authorId="2" shapeId="0" xr:uid="{23E0F154-6232-47E3-860F-E4341586071A}">
      <text>
        <r>
          <rPr>
            <sz val="11"/>
            <color theme="1"/>
            <rFont val="Calibri"/>
            <family val="2"/>
            <scheme val="minor"/>
          </rPr>
          <t>Monto calculado automáticamente por el sistema</t>
        </r>
      </text>
    </comment>
    <comment ref="A273" authorId="2" shapeId="0" xr:uid="{17A1F915-34E6-4F91-9333-51B9EC1E67E1}">
      <text>
        <r>
          <rPr>
            <sz val="11"/>
            <color theme="1"/>
            <rFont val="Calibri"/>
            <family val="2"/>
            <scheme val="minor"/>
          </rPr>
          <t>Introducir un texto con el nombre o referencia de la contratación</t>
        </r>
      </text>
    </comment>
    <comment ref="B273" authorId="2" shapeId="0" xr:uid="{8B18C9B6-3719-4D66-9CBF-910D7B173070}">
      <text>
        <r>
          <rPr>
            <sz val="11"/>
            <color theme="1"/>
            <rFont val="Calibri"/>
            <family val="2"/>
            <scheme val="minor"/>
          </rPr>
          <t>Introduzca un texto con la finalidad de la contratación</t>
        </r>
      </text>
    </comment>
    <comment ref="C273" authorId="2" shapeId="0" xr:uid="{D1B2CA83-B0FB-40AB-AD5D-F1CBDF0CFEC2}">
      <text>
        <r>
          <rPr>
            <sz val="11"/>
            <color theme="1"/>
            <rFont val="Calibri"/>
            <family val="2"/>
            <scheme val="minor"/>
          </rPr>
          <t>Seleccionar un valor del listado</t>
        </r>
      </text>
    </comment>
    <comment ref="D273" authorId="2" shapeId="0" xr:uid="{E6AD9B95-A43B-4DE8-8B7B-C88E2EA1D29E}">
      <text>
        <r>
          <rPr>
            <sz val="11"/>
            <color theme="1"/>
            <rFont val="Calibri"/>
            <family val="2"/>
            <scheme val="minor"/>
          </rPr>
          <t>Seleccione el tipo de procedimiento</t>
        </r>
      </text>
    </comment>
    <comment ref="E273" authorId="2" shapeId="0" xr:uid="{82085823-BD42-42DD-BF84-15377297F9E5}">
      <text>
        <r>
          <rPr>
            <sz val="11"/>
            <color theme="1"/>
            <rFont val="Calibri"/>
            <family val="2"/>
            <scheme val="minor"/>
          </rPr>
          <t>Seleccione un valor de la lista</t>
        </r>
      </text>
    </comment>
    <comment ref="F273" authorId="2" shapeId="0" xr:uid="{FFB4667A-6EE9-452E-92D9-FB0C14351522}">
      <text>
        <r>
          <rPr>
            <sz val="11"/>
            <color theme="1"/>
            <rFont val="Calibri"/>
            <family val="2"/>
            <scheme val="minor"/>
          </rPr>
          <t>Introduzca el código SNIP</t>
        </r>
      </text>
    </comment>
    <comment ref="C274" authorId="2" shapeId="0" xr:uid="{A6107040-EC32-4AC9-9C7F-F55942418EDC}">
      <text>
        <r>
          <rPr>
            <sz val="11"/>
            <color theme="1"/>
            <rFont val="Calibri"/>
            <family val="2"/>
            <scheme val="minor"/>
          </rPr>
          <t>Introduzca la fecha de inicio del proceso, en formato dd-mm-aaaa</t>
        </r>
      </text>
    </comment>
    <comment ref="F274" authorId="2" shapeId="0" xr:uid="{A35D1780-760A-4F06-93FB-24067E5E7E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xr:uid="{9572A3B4-EEAC-41E1-8772-50F1AA814642}">
      <text/>
    </comment>
    <comment ref="C276" authorId="2" shapeId="0" xr:uid="{78ED7FD2-2656-42E4-A596-3D0881420EF7}">
      <text>
        <r>
          <rPr>
            <sz val="11"/>
            <color theme="1"/>
            <rFont val="Calibri"/>
            <family val="2"/>
            <scheme val="minor"/>
          </rPr>
          <t>Introduzca la fecha prevista de adjudicación, en formato dd-mm-aaaa</t>
        </r>
      </text>
    </comment>
    <comment ref="F276" authorId="2" shapeId="0" xr:uid="{F01E0BBC-0E3F-418A-8880-9BFEA39FF8B8}">
      <text/>
    </comment>
    <comment ref="F277" authorId="2" shapeId="0" xr:uid="{0ADF2DFB-ACBE-4B2F-87FD-5E2D2B4CB4AE}">
      <text/>
    </comment>
    <comment ref="A279" authorId="2" shapeId="0" xr:uid="{3DC489C1-9CC2-45A4-A1EE-A7597CF1A449}">
      <text>
        <r>
          <rPr>
            <sz val="11"/>
            <color theme="1"/>
            <rFont val="Calibri"/>
            <family val="2"/>
            <scheme val="minor"/>
          </rPr>
          <t>Introduzca un codigo UNSPSC</t>
        </r>
      </text>
    </comment>
    <comment ref="B279" authorId="2" shapeId="0" xr:uid="{AE1F91B1-8316-418D-BAFA-05D68CCCD903}">
      <text>
        <r>
          <rPr>
            <sz val="11"/>
            <color theme="1"/>
            <rFont val="Calibri"/>
            <family val="2"/>
            <scheme val="minor"/>
          </rPr>
          <t>Descripción calculada automáticamente a partir de código del artículo</t>
        </r>
      </text>
    </comment>
    <comment ref="C279" authorId="2" shapeId="0" xr:uid="{337EED0A-D5E5-4E3A-A2FA-5353A37125BF}">
      <text>
        <r>
          <rPr>
            <sz val="11"/>
            <color theme="1"/>
            <rFont val="Calibri"/>
            <family val="2"/>
            <scheme val="minor"/>
          </rPr>
          <t>Seleccione un valor de la lista</t>
        </r>
      </text>
    </comment>
    <comment ref="D279" authorId="2" shapeId="0" xr:uid="{1CD893FF-2FA5-4581-B63D-F64733077937}">
      <text>
        <r>
          <rPr>
            <sz val="11"/>
            <color theme="1"/>
            <rFont val="Calibri"/>
            <family val="2"/>
            <scheme val="minor"/>
          </rPr>
          <t>Introduzca un número con dos decimales como máximo. Debe ser igual o mayor a la "Cantidad Real Consumida"</t>
        </r>
      </text>
    </comment>
    <comment ref="E279" authorId="2" shapeId="0" xr:uid="{B880C5FD-DF11-47E3-8F35-09685B687A6C}">
      <text>
        <r>
          <rPr>
            <sz val="11"/>
            <color theme="1"/>
            <rFont val="Calibri"/>
            <family val="2"/>
            <scheme val="minor"/>
          </rPr>
          <t>Introduzca un número con dos decimales como máximo</t>
        </r>
      </text>
    </comment>
    <comment ref="F279" authorId="2" shapeId="0" xr:uid="{FC0F81F7-C735-4E38-A5B5-87A9393965E7}">
      <text>
        <r>
          <rPr>
            <sz val="11"/>
            <color theme="1"/>
            <rFont val="Calibri"/>
            <family val="2"/>
            <scheme val="minor"/>
          </rPr>
          <t>Monto calculado automáticamente por el sistema</t>
        </r>
      </text>
    </comment>
    <comment ref="A284" authorId="2" shapeId="0" xr:uid="{A95377A0-0BDC-4980-8E22-542E7D0CCB06}">
      <text>
        <r>
          <rPr>
            <sz val="11"/>
            <color theme="1"/>
            <rFont val="Calibri"/>
            <family val="2"/>
            <scheme val="minor"/>
          </rPr>
          <t>Introducir un texto con el nombre o referencia de la contratación</t>
        </r>
      </text>
    </comment>
    <comment ref="B284" authorId="2" shapeId="0" xr:uid="{BDD3D679-36DB-4C53-A920-CECD18D36C2C}">
      <text>
        <r>
          <rPr>
            <sz val="11"/>
            <color theme="1"/>
            <rFont val="Calibri"/>
            <family val="2"/>
            <scheme val="minor"/>
          </rPr>
          <t>Introduzca un texto con la finalidad de la contratación</t>
        </r>
      </text>
    </comment>
    <comment ref="C284" authorId="2" shapeId="0" xr:uid="{D678D4DE-31EC-44C0-9279-675C5549EF34}">
      <text>
        <r>
          <rPr>
            <sz val="11"/>
            <color theme="1"/>
            <rFont val="Calibri"/>
            <family val="2"/>
            <scheme val="minor"/>
          </rPr>
          <t>Seleccionar un valor del listado</t>
        </r>
      </text>
    </comment>
    <comment ref="D284" authorId="2" shapeId="0" xr:uid="{EB24D4AB-7CCC-4092-8996-075F20C9BF38}">
      <text>
        <r>
          <rPr>
            <sz val="11"/>
            <color theme="1"/>
            <rFont val="Calibri"/>
            <family val="2"/>
            <scheme val="minor"/>
          </rPr>
          <t>Seleccione el tipo de procedimiento</t>
        </r>
      </text>
    </comment>
    <comment ref="E284" authorId="2" shapeId="0" xr:uid="{BB9A741E-4B87-4028-A419-738BC814C651}">
      <text>
        <r>
          <rPr>
            <sz val="11"/>
            <color theme="1"/>
            <rFont val="Calibri"/>
            <family val="2"/>
            <scheme val="minor"/>
          </rPr>
          <t>Seleccione un valor de la lista</t>
        </r>
      </text>
    </comment>
    <comment ref="F284" authorId="2" shapeId="0" xr:uid="{7D85F439-1CAC-42EB-95BE-564257AB2B66}">
      <text>
        <r>
          <rPr>
            <sz val="11"/>
            <color theme="1"/>
            <rFont val="Calibri"/>
            <family val="2"/>
            <scheme val="minor"/>
          </rPr>
          <t>Introduzca el código SNIP</t>
        </r>
      </text>
    </comment>
    <comment ref="C285" authorId="2" shapeId="0" xr:uid="{78192588-5A10-4D0E-929C-76D8CA0C670B}">
      <text>
        <r>
          <rPr>
            <sz val="11"/>
            <color theme="1"/>
            <rFont val="Calibri"/>
            <family val="2"/>
            <scheme val="minor"/>
          </rPr>
          <t>Introduzca la fecha de inicio del proceso, en formato dd-mm-aaaa</t>
        </r>
      </text>
    </comment>
    <comment ref="F285" authorId="2" shapeId="0" xr:uid="{E8D66A2C-46B3-43CA-842D-FFF203D3F2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2" shapeId="0" xr:uid="{FCE6D0DF-9E98-48AA-B92C-BD4415374AFE}">
      <text/>
    </comment>
    <comment ref="C287" authorId="2" shapeId="0" xr:uid="{32AF01E2-CD31-4132-97C9-C80C66C11471}">
      <text>
        <r>
          <rPr>
            <sz val="11"/>
            <color theme="1"/>
            <rFont val="Calibri"/>
            <family val="2"/>
            <scheme val="minor"/>
          </rPr>
          <t>Introduzca la fecha prevista de adjudicación, en formato dd-mm-aaaa</t>
        </r>
      </text>
    </comment>
    <comment ref="F287" authorId="2" shapeId="0" xr:uid="{EB930D37-574C-4C13-A315-68BCF87E4128}">
      <text/>
    </comment>
    <comment ref="F288" authorId="2" shapeId="0" xr:uid="{744E5268-819A-45C0-B0AE-94D005160B59}">
      <text/>
    </comment>
    <comment ref="A290" authorId="2" shapeId="0" xr:uid="{F256D654-C5B3-4BC9-ADE4-E4248C119152}">
      <text>
        <r>
          <rPr>
            <sz val="11"/>
            <color theme="1"/>
            <rFont val="Calibri"/>
            <family val="2"/>
            <scheme val="minor"/>
          </rPr>
          <t>Introduzca un codigo UNSPSC</t>
        </r>
      </text>
    </comment>
    <comment ref="B290" authorId="2" shapeId="0" xr:uid="{1100E7D6-E52E-4639-BF8D-7E8EC908A895}">
      <text>
        <r>
          <rPr>
            <sz val="11"/>
            <color theme="1"/>
            <rFont val="Calibri"/>
            <family val="2"/>
            <scheme val="minor"/>
          </rPr>
          <t>Descripción calculada automáticamente a partir de código del artículo</t>
        </r>
      </text>
    </comment>
    <comment ref="C290" authorId="2" shapeId="0" xr:uid="{32414B52-18A5-474F-979A-1B6C5F4E4ACD}">
      <text>
        <r>
          <rPr>
            <sz val="11"/>
            <color theme="1"/>
            <rFont val="Calibri"/>
            <family val="2"/>
            <scheme val="minor"/>
          </rPr>
          <t>Seleccione un valor de la lista</t>
        </r>
      </text>
    </comment>
    <comment ref="D290" authorId="2" shapeId="0" xr:uid="{51E32E03-3A5D-452A-B02A-D2751DF0D020}">
      <text>
        <r>
          <rPr>
            <sz val="11"/>
            <color theme="1"/>
            <rFont val="Calibri"/>
            <family val="2"/>
            <scheme val="minor"/>
          </rPr>
          <t>Introduzca un número con dos decimales como máximo. Debe ser igual o mayor a la "Cantidad Real Consumida"</t>
        </r>
      </text>
    </comment>
    <comment ref="E290" authorId="2" shapeId="0" xr:uid="{D3167EB8-D1C3-4AB4-8352-65044FE2E234}">
      <text>
        <r>
          <rPr>
            <sz val="11"/>
            <color theme="1"/>
            <rFont val="Calibri"/>
            <family val="2"/>
            <scheme val="minor"/>
          </rPr>
          <t>Introduzca un número con dos decimales como máximo</t>
        </r>
      </text>
    </comment>
    <comment ref="F290" authorId="2" shapeId="0" xr:uid="{D73B8CAE-3C59-466B-826A-CE67BE96E5E2}">
      <text>
        <r>
          <rPr>
            <sz val="11"/>
            <color theme="1"/>
            <rFont val="Calibri"/>
            <family val="2"/>
            <scheme val="minor"/>
          </rPr>
          <t>Monto calculado automáticamente por el sistema</t>
        </r>
      </text>
    </comment>
    <comment ref="A295" authorId="2" shapeId="0" xr:uid="{330F722F-3474-4629-BBD0-D754FDD0826D}">
      <text>
        <r>
          <rPr>
            <sz val="11"/>
            <color theme="1"/>
            <rFont val="Calibri"/>
            <family val="2"/>
            <scheme val="minor"/>
          </rPr>
          <t>Introducir un texto con el nombre o referencia de la contratación</t>
        </r>
      </text>
    </comment>
    <comment ref="B295" authorId="2" shapeId="0" xr:uid="{9778CB4A-7864-4EB4-A6BC-12E5987861A3}">
      <text>
        <r>
          <rPr>
            <sz val="11"/>
            <color theme="1"/>
            <rFont val="Calibri"/>
            <family val="2"/>
            <scheme val="minor"/>
          </rPr>
          <t>Introduzca un texto con la finalidad de la contratación</t>
        </r>
      </text>
    </comment>
    <comment ref="C295" authorId="2" shapeId="0" xr:uid="{091779A7-775D-451F-8275-45325D4F4FCC}">
      <text>
        <r>
          <rPr>
            <sz val="11"/>
            <color theme="1"/>
            <rFont val="Calibri"/>
            <family val="2"/>
            <scheme val="minor"/>
          </rPr>
          <t>Seleccionar un valor del listado</t>
        </r>
      </text>
    </comment>
    <comment ref="D295" authorId="2" shapeId="0" xr:uid="{4F37C075-E42B-4086-A664-B66F77D907C3}">
      <text>
        <r>
          <rPr>
            <sz val="11"/>
            <color theme="1"/>
            <rFont val="Calibri"/>
            <family val="2"/>
            <scheme val="minor"/>
          </rPr>
          <t>Seleccione el tipo de procedimiento</t>
        </r>
      </text>
    </comment>
    <comment ref="E295" authorId="2" shapeId="0" xr:uid="{83E111B0-8312-4584-8F75-446C2ACCF92B}">
      <text>
        <r>
          <rPr>
            <sz val="11"/>
            <color theme="1"/>
            <rFont val="Calibri"/>
            <family val="2"/>
            <scheme val="minor"/>
          </rPr>
          <t>Seleccione un valor de la lista</t>
        </r>
      </text>
    </comment>
    <comment ref="F295" authorId="2" shapeId="0" xr:uid="{CC783D27-2BDB-4D1D-88E1-AA1B7FB4B822}">
      <text>
        <r>
          <rPr>
            <sz val="11"/>
            <color theme="1"/>
            <rFont val="Calibri"/>
            <family val="2"/>
            <scheme val="minor"/>
          </rPr>
          <t>Introduzca el código SNIP</t>
        </r>
      </text>
    </comment>
    <comment ref="C296" authorId="2" shapeId="0" xr:uid="{486E6A6C-E94E-4809-B723-C070E6A411BA}">
      <text>
        <r>
          <rPr>
            <sz val="11"/>
            <color theme="1"/>
            <rFont val="Calibri"/>
            <family val="2"/>
            <scheme val="minor"/>
          </rPr>
          <t>Introduzca la fecha de inicio del proceso, en formato dd-mm-aaaa</t>
        </r>
      </text>
    </comment>
    <comment ref="F296" authorId="2" shapeId="0" xr:uid="{4E06CE3B-CF7C-4F52-8FBB-60FFBAAEB0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 authorId="2" shapeId="0" xr:uid="{E373C0E7-3134-4ACD-AFE8-547FDC9F9A31}">
      <text/>
    </comment>
    <comment ref="C298" authorId="2" shapeId="0" xr:uid="{515A441C-F6B7-4842-B3B0-B807940C5E83}">
      <text>
        <r>
          <rPr>
            <sz val="11"/>
            <color theme="1"/>
            <rFont val="Calibri"/>
            <family val="2"/>
            <scheme val="minor"/>
          </rPr>
          <t>Introduzca la fecha prevista de adjudicación, en formato dd-mm-aaaa</t>
        </r>
      </text>
    </comment>
    <comment ref="F298" authorId="2" shapeId="0" xr:uid="{3C611CB2-5408-4D09-9304-ED6EE766D477}">
      <text/>
    </comment>
    <comment ref="F299" authorId="2" shapeId="0" xr:uid="{7A594DCD-251A-455A-802A-C82C528C1E06}">
      <text/>
    </comment>
    <comment ref="A301" authorId="2" shapeId="0" xr:uid="{09BCD98E-615B-43E2-A020-83C4A0B423B1}">
      <text>
        <r>
          <rPr>
            <sz val="11"/>
            <color theme="1"/>
            <rFont val="Calibri"/>
            <family val="2"/>
            <scheme val="minor"/>
          </rPr>
          <t>Introduzca un codigo UNSPSC</t>
        </r>
      </text>
    </comment>
    <comment ref="B301" authorId="2" shapeId="0" xr:uid="{FE6B83CE-4459-4B1B-ACA8-3584C9DA6E4E}">
      <text>
        <r>
          <rPr>
            <sz val="11"/>
            <color theme="1"/>
            <rFont val="Calibri"/>
            <family val="2"/>
            <scheme val="minor"/>
          </rPr>
          <t>Descripción calculada automáticamente a partir de código del artículo</t>
        </r>
      </text>
    </comment>
    <comment ref="C301" authorId="2" shapeId="0" xr:uid="{CEEC2AB8-F630-4533-AB60-A4778837075E}">
      <text>
        <r>
          <rPr>
            <sz val="11"/>
            <color theme="1"/>
            <rFont val="Calibri"/>
            <family val="2"/>
            <scheme val="minor"/>
          </rPr>
          <t>Seleccione un valor de la lista</t>
        </r>
      </text>
    </comment>
    <comment ref="D301" authorId="2" shapeId="0" xr:uid="{512BBA9D-783C-48D7-9A59-B7B3A25F47B6}">
      <text>
        <r>
          <rPr>
            <sz val="11"/>
            <color theme="1"/>
            <rFont val="Calibri"/>
            <family val="2"/>
            <scheme val="minor"/>
          </rPr>
          <t>Introduzca un número con dos decimales como máximo. Debe ser igual o mayor a la "Cantidad Real Consumida"</t>
        </r>
      </text>
    </comment>
    <comment ref="E301" authorId="2" shapeId="0" xr:uid="{0E981174-5E22-46E4-BE22-BD5E95296591}">
      <text>
        <r>
          <rPr>
            <sz val="11"/>
            <color theme="1"/>
            <rFont val="Calibri"/>
            <family val="2"/>
            <scheme val="minor"/>
          </rPr>
          <t>Introduzca un número con dos decimales como máximo</t>
        </r>
      </text>
    </comment>
    <comment ref="F301" authorId="2" shapeId="0" xr:uid="{18EBD17B-4F49-43E5-B0A3-031B7A4C3FE1}">
      <text>
        <r>
          <rPr>
            <sz val="11"/>
            <color theme="1"/>
            <rFont val="Calibri"/>
            <family val="2"/>
            <scheme val="minor"/>
          </rPr>
          <t>Monto calculado automáticamente por el sistema</t>
        </r>
      </text>
    </comment>
    <comment ref="A306" authorId="2" shapeId="0" xr:uid="{39846685-71A4-4DB2-B8FA-407CEBC9C50F}">
      <text>
        <r>
          <rPr>
            <sz val="11"/>
            <color theme="1"/>
            <rFont val="Calibri"/>
            <family val="2"/>
            <scheme val="minor"/>
          </rPr>
          <t>Introducir un texto con el nombre o referencia de la contratación</t>
        </r>
      </text>
    </comment>
    <comment ref="B306" authorId="2" shapeId="0" xr:uid="{182522C5-1549-44FD-8665-3F1C25768526}">
      <text>
        <r>
          <rPr>
            <sz val="11"/>
            <color theme="1"/>
            <rFont val="Calibri"/>
            <family val="2"/>
            <scheme val="minor"/>
          </rPr>
          <t>Introduzca un texto con la finalidad de la contratación</t>
        </r>
      </text>
    </comment>
    <comment ref="C306" authorId="2" shapeId="0" xr:uid="{5229D492-2247-493A-9B80-FA8336135264}">
      <text>
        <r>
          <rPr>
            <sz val="11"/>
            <color theme="1"/>
            <rFont val="Calibri"/>
            <family val="2"/>
            <scheme val="minor"/>
          </rPr>
          <t>Seleccionar un valor del listado</t>
        </r>
      </text>
    </comment>
    <comment ref="D306" authorId="2" shapeId="0" xr:uid="{8F82D31E-F88F-4599-A883-DA8FF55769EA}">
      <text>
        <r>
          <rPr>
            <sz val="11"/>
            <color theme="1"/>
            <rFont val="Calibri"/>
            <family val="2"/>
            <scheme val="minor"/>
          </rPr>
          <t>Seleccione el tipo de procedimiento</t>
        </r>
      </text>
    </comment>
    <comment ref="E306" authorId="2" shapeId="0" xr:uid="{23F7EE42-4A77-4C80-9146-1012183510C6}">
      <text>
        <r>
          <rPr>
            <sz val="11"/>
            <color theme="1"/>
            <rFont val="Calibri"/>
            <family val="2"/>
            <scheme val="minor"/>
          </rPr>
          <t>Seleccione un valor de la lista</t>
        </r>
      </text>
    </comment>
    <comment ref="F306" authorId="2" shapeId="0" xr:uid="{2EF18FEE-F2B1-4ABD-B7EC-9AEC82924C20}">
      <text>
        <r>
          <rPr>
            <sz val="11"/>
            <color theme="1"/>
            <rFont val="Calibri"/>
            <family val="2"/>
            <scheme val="minor"/>
          </rPr>
          <t>Introduzca el código SNIP</t>
        </r>
      </text>
    </comment>
    <comment ref="C307" authorId="2" shapeId="0" xr:uid="{7F830F54-8ABD-4D91-9F77-EC7D71DEE79F}">
      <text>
        <r>
          <rPr>
            <sz val="11"/>
            <color theme="1"/>
            <rFont val="Calibri"/>
            <family val="2"/>
            <scheme val="minor"/>
          </rPr>
          <t>Introduzca la fecha de inicio del proceso, en formato dd-mm-aaaa</t>
        </r>
      </text>
    </comment>
    <comment ref="F307" authorId="2" shapeId="0" xr:uid="{013F97D0-95BA-4661-A157-341DC6D4D6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2" shapeId="0" xr:uid="{7CF46EF8-8898-4682-A897-A291E9BAB0BB}">
      <text/>
    </comment>
    <comment ref="C309" authorId="2" shapeId="0" xr:uid="{7C52B48C-66F3-457A-BAD5-883CBB212818}">
      <text>
        <r>
          <rPr>
            <sz val="11"/>
            <color theme="1"/>
            <rFont val="Calibri"/>
            <family val="2"/>
            <scheme val="minor"/>
          </rPr>
          <t>Introduzca la fecha prevista de adjudicación, en formato dd-mm-aaaa</t>
        </r>
      </text>
    </comment>
    <comment ref="F309" authorId="2" shapeId="0" xr:uid="{C48C2FF4-6E83-4A67-90AE-C6C6A3513183}">
      <text/>
    </comment>
    <comment ref="F310" authorId="2" shapeId="0" xr:uid="{CC7C7F0F-9FFD-47BB-A02B-43D49CE53070}">
      <text/>
    </comment>
    <comment ref="A312" authorId="2" shapeId="0" xr:uid="{2C67EBBA-1058-4C83-8DEE-A52CC49CD931}">
      <text>
        <r>
          <rPr>
            <sz val="11"/>
            <color theme="1"/>
            <rFont val="Calibri"/>
            <family val="2"/>
            <scheme val="minor"/>
          </rPr>
          <t>Introduzca un codigo UNSPSC</t>
        </r>
      </text>
    </comment>
    <comment ref="B312" authorId="2" shapeId="0" xr:uid="{347E8893-BCCE-4116-B74B-5D7062C8E953}">
      <text>
        <r>
          <rPr>
            <sz val="11"/>
            <color theme="1"/>
            <rFont val="Calibri"/>
            <family val="2"/>
            <scheme val="minor"/>
          </rPr>
          <t>Descripción calculada automáticamente a partir de código del artículo</t>
        </r>
      </text>
    </comment>
    <comment ref="C312" authorId="2" shapeId="0" xr:uid="{79AD00B5-A85D-4895-A90A-D35B98390CE7}">
      <text>
        <r>
          <rPr>
            <sz val="11"/>
            <color theme="1"/>
            <rFont val="Calibri"/>
            <family val="2"/>
            <scheme val="minor"/>
          </rPr>
          <t>Seleccione un valor de la lista</t>
        </r>
      </text>
    </comment>
    <comment ref="D312" authorId="2" shapeId="0" xr:uid="{A5C9CF26-9FE1-4FEB-BC43-EE9F4B288B50}">
      <text>
        <r>
          <rPr>
            <sz val="11"/>
            <color theme="1"/>
            <rFont val="Calibri"/>
            <family val="2"/>
            <scheme val="minor"/>
          </rPr>
          <t>Introduzca un número con dos decimales como máximo. Debe ser igual o mayor a la "Cantidad Real Consumida"</t>
        </r>
      </text>
    </comment>
    <comment ref="E312" authorId="2" shapeId="0" xr:uid="{AFCAD28A-33DA-41F2-9492-61EA665EA582}">
      <text>
        <r>
          <rPr>
            <sz val="11"/>
            <color theme="1"/>
            <rFont val="Calibri"/>
            <family val="2"/>
            <scheme val="minor"/>
          </rPr>
          <t>Introduzca un número con dos decimales como máximo</t>
        </r>
      </text>
    </comment>
    <comment ref="F312" authorId="2" shapeId="0" xr:uid="{9F3733E3-FFC1-4ABF-9996-4E51AAFC52EE}">
      <text>
        <r>
          <rPr>
            <sz val="11"/>
            <color theme="1"/>
            <rFont val="Calibri"/>
            <family val="2"/>
            <scheme val="minor"/>
          </rPr>
          <t>Monto calculado automáticamente por el sistema</t>
        </r>
      </text>
    </comment>
    <comment ref="A317" authorId="2" shapeId="0" xr:uid="{139A7E45-D514-4757-9174-03ECBAB7B44F}">
      <text>
        <r>
          <rPr>
            <sz val="11"/>
            <color theme="1"/>
            <rFont val="Calibri"/>
            <family val="2"/>
            <scheme val="minor"/>
          </rPr>
          <t>Introducir un texto con el nombre o referencia de la contratación</t>
        </r>
      </text>
    </comment>
    <comment ref="B317" authorId="2" shapeId="0" xr:uid="{7978350A-7327-41F6-98FA-7AB06C64855F}">
      <text>
        <r>
          <rPr>
            <sz val="11"/>
            <color theme="1"/>
            <rFont val="Calibri"/>
            <family val="2"/>
            <scheme val="minor"/>
          </rPr>
          <t>Introduzca un texto con la finalidad de la contratación</t>
        </r>
      </text>
    </comment>
    <comment ref="C317" authorId="2" shapeId="0" xr:uid="{E50B26C7-8CD5-475A-A95B-74E92CC6DABA}">
      <text>
        <r>
          <rPr>
            <sz val="11"/>
            <color theme="1"/>
            <rFont val="Calibri"/>
            <family val="2"/>
            <scheme val="minor"/>
          </rPr>
          <t>Seleccionar un valor del listado</t>
        </r>
      </text>
    </comment>
    <comment ref="D317" authorId="2" shapeId="0" xr:uid="{6652A6C4-4CAE-4195-A41B-FF6FA76BEEC8}">
      <text>
        <r>
          <rPr>
            <sz val="11"/>
            <color theme="1"/>
            <rFont val="Calibri"/>
            <family val="2"/>
            <scheme val="minor"/>
          </rPr>
          <t>Seleccione el tipo de procedimiento</t>
        </r>
      </text>
    </comment>
    <comment ref="E317" authorId="2" shapeId="0" xr:uid="{D69DB4AE-39AB-436E-980D-5D6EB9B8B57A}">
      <text>
        <r>
          <rPr>
            <sz val="11"/>
            <color theme="1"/>
            <rFont val="Calibri"/>
            <family val="2"/>
            <scheme val="minor"/>
          </rPr>
          <t>Seleccione un valor de la lista</t>
        </r>
      </text>
    </comment>
    <comment ref="F317" authorId="2" shapeId="0" xr:uid="{242FE6B2-3B80-4C6F-AAE3-433AF81C23F3}">
      <text>
        <r>
          <rPr>
            <sz val="11"/>
            <color theme="1"/>
            <rFont val="Calibri"/>
            <family val="2"/>
            <scheme val="minor"/>
          </rPr>
          <t>Introduzca el código SNIP</t>
        </r>
      </text>
    </comment>
    <comment ref="C318" authorId="2" shapeId="0" xr:uid="{1B1C3086-109A-44D7-B03C-FD736A9D4633}">
      <text>
        <r>
          <rPr>
            <sz val="11"/>
            <color theme="1"/>
            <rFont val="Calibri"/>
            <family val="2"/>
            <scheme val="minor"/>
          </rPr>
          <t>Introduzca la fecha de inicio del proceso, en formato dd-mm-aaaa</t>
        </r>
      </text>
    </comment>
    <comment ref="F318" authorId="2" shapeId="0" xr:uid="{CC5E9B1C-C174-493E-8723-6C18FFF0FA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2" shapeId="0" xr:uid="{B08C83ED-9A86-4551-BC0E-40CAD7FB2DA3}">
      <text/>
    </comment>
    <comment ref="C320" authorId="2" shapeId="0" xr:uid="{A4C9E592-AF4C-4EFF-BE83-E1E0B344B78A}">
      <text>
        <r>
          <rPr>
            <sz val="11"/>
            <color theme="1"/>
            <rFont val="Calibri"/>
            <family val="2"/>
            <scheme val="minor"/>
          </rPr>
          <t>Introduzca la fecha prevista de adjudicación, en formato dd-mm-aaaa</t>
        </r>
      </text>
    </comment>
    <comment ref="F320" authorId="2" shapeId="0" xr:uid="{46370E1D-76A3-47B3-ACFE-DC2B1DFEF295}">
      <text/>
    </comment>
    <comment ref="F321" authorId="2" shapeId="0" xr:uid="{0FD23176-0755-4892-80B2-E1BC46F5EBEA}">
      <text/>
    </comment>
    <comment ref="A323" authorId="2" shapeId="0" xr:uid="{C5D100E9-38C5-413B-BDB5-B96407B9C815}">
      <text>
        <r>
          <rPr>
            <sz val="11"/>
            <color theme="1"/>
            <rFont val="Calibri"/>
            <family val="2"/>
            <scheme val="minor"/>
          </rPr>
          <t>Introduzca un codigo UNSPSC</t>
        </r>
      </text>
    </comment>
    <comment ref="B323" authorId="2" shapeId="0" xr:uid="{741F0C92-47F0-4F9C-92D1-6CD55CD92B9C}">
      <text>
        <r>
          <rPr>
            <sz val="11"/>
            <color theme="1"/>
            <rFont val="Calibri"/>
            <family val="2"/>
            <scheme val="minor"/>
          </rPr>
          <t>Descripción calculada automáticamente a partir de código del artículo</t>
        </r>
      </text>
    </comment>
    <comment ref="C323" authorId="2" shapeId="0" xr:uid="{3952794F-3CEA-4DE9-80A4-249B1971A9B4}">
      <text>
        <r>
          <rPr>
            <sz val="11"/>
            <color theme="1"/>
            <rFont val="Calibri"/>
            <family val="2"/>
            <scheme val="minor"/>
          </rPr>
          <t>Seleccione un valor de la lista</t>
        </r>
      </text>
    </comment>
    <comment ref="D323" authorId="2" shapeId="0" xr:uid="{A80E1AF1-C732-4BDE-9155-42B20A7595DB}">
      <text>
        <r>
          <rPr>
            <sz val="11"/>
            <color theme="1"/>
            <rFont val="Calibri"/>
            <family val="2"/>
            <scheme val="minor"/>
          </rPr>
          <t>Introduzca un número con dos decimales como máximo. Debe ser igual o mayor a la "Cantidad Real Consumida"</t>
        </r>
      </text>
    </comment>
    <comment ref="E323" authorId="2" shapeId="0" xr:uid="{37696353-B725-471A-9BED-94B92D3F461F}">
      <text>
        <r>
          <rPr>
            <sz val="11"/>
            <color theme="1"/>
            <rFont val="Calibri"/>
            <family val="2"/>
            <scheme val="minor"/>
          </rPr>
          <t>Introduzca un número con dos decimales como máximo</t>
        </r>
      </text>
    </comment>
    <comment ref="F323" authorId="2" shapeId="0" xr:uid="{95CEB88D-48EC-4A05-A44E-6627B3E27E03}">
      <text>
        <r>
          <rPr>
            <sz val="11"/>
            <color theme="1"/>
            <rFont val="Calibri"/>
            <family val="2"/>
            <scheme val="minor"/>
          </rPr>
          <t>Monto calculado automáticamente por el sistema</t>
        </r>
      </text>
    </comment>
    <comment ref="A328" authorId="2" shapeId="0" xr:uid="{96E1693D-741A-4E8C-AAD3-A12542AB442A}">
      <text>
        <r>
          <rPr>
            <sz val="11"/>
            <color theme="1"/>
            <rFont val="Calibri"/>
            <family val="2"/>
            <scheme val="minor"/>
          </rPr>
          <t>Introducir un texto con el nombre o referencia de la contratación</t>
        </r>
      </text>
    </comment>
    <comment ref="B328" authorId="2" shapeId="0" xr:uid="{20766D44-A1E3-4EE0-BB8D-D60958F38870}">
      <text>
        <r>
          <rPr>
            <sz val="11"/>
            <color theme="1"/>
            <rFont val="Calibri"/>
            <family val="2"/>
            <scheme val="minor"/>
          </rPr>
          <t>Introduzca un texto con la finalidad de la contratación</t>
        </r>
      </text>
    </comment>
    <comment ref="C328" authorId="2" shapeId="0" xr:uid="{103D5C9F-D645-4773-81E2-1D3545A677A2}">
      <text>
        <r>
          <rPr>
            <sz val="11"/>
            <color theme="1"/>
            <rFont val="Calibri"/>
            <family val="2"/>
            <scheme val="minor"/>
          </rPr>
          <t>Seleccionar un valor del listado</t>
        </r>
      </text>
    </comment>
    <comment ref="D328" authorId="2" shapeId="0" xr:uid="{ECCEECE0-0FBB-411F-B735-6B1131B2A963}">
      <text>
        <r>
          <rPr>
            <sz val="11"/>
            <color theme="1"/>
            <rFont val="Calibri"/>
            <family val="2"/>
            <scheme val="minor"/>
          </rPr>
          <t>Seleccione el tipo de procedimiento</t>
        </r>
      </text>
    </comment>
    <comment ref="E328" authorId="2" shapeId="0" xr:uid="{DA491711-6663-48CC-BE32-C1159ADBB243}">
      <text>
        <r>
          <rPr>
            <sz val="11"/>
            <color theme="1"/>
            <rFont val="Calibri"/>
            <family val="2"/>
            <scheme val="minor"/>
          </rPr>
          <t>Seleccione un valor de la lista</t>
        </r>
      </text>
    </comment>
    <comment ref="F328" authorId="2" shapeId="0" xr:uid="{8318582E-C7F2-4271-9071-713F44C75ACE}">
      <text>
        <r>
          <rPr>
            <sz val="11"/>
            <color theme="1"/>
            <rFont val="Calibri"/>
            <family val="2"/>
            <scheme val="minor"/>
          </rPr>
          <t>Introduzca el código SNIP</t>
        </r>
      </text>
    </comment>
    <comment ref="C329" authorId="2" shapeId="0" xr:uid="{508DCE74-60C9-4502-8122-32725E5C258A}">
      <text>
        <r>
          <rPr>
            <sz val="11"/>
            <color theme="1"/>
            <rFont val="Calibri"/>
            <family val="2"/>
            <scheme val="minor"/>
          </rPr>
          <t>Introduzca la fecha de inicio del proceso, en formato dd-mm-aaaa</t>
        </r>
      </text>
    </comment>
    <comment ref="F329" authorId="2" shapeId="0" xr:uid="{289D588A-BADC-4D9C-8885-E6FFE54BF9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xr:uid="{68B7DCA3-1B89-4ADF-A8BE-595BE5C426B0}">
      <text/>
    </comment>
    <comment ref="C331" authorId="2" shapeId="0" xr:uid="{BE83CC7D-71B2-4A97-90CE-107C07EE5AD5}">
      <text>
        <r>
          <rPr>
            <sz val="11"/>
            <color theme="1"/>
            <rFont val="Calibri"/>
            <family val="2"/>
            <scheme val="minor"/>
          </rPr>
          <t>Introduzca la fecha prevista de adjudicación, en formato dd-mm-aaaa</t>
        </r>
      </text>
    </comment>
    <comment ref="F331" authorId="2" shapeId="0" xr:uid="{20FB629F-35FC-4108-9F67-B86B6F92FAD2}">
      <text/>
    </comment>
    <comment ref="F332" authorId="2" shapeId="0" xr:uid="{750E811C-6E1F-426C-9614-AB33E72CCC7A}">
      <text/>
    </comment>
    <comment ref="A334" authorId="2" shapeId="0" xr:uid="{3FF2AC04-7049-42E0-A445-5C88B31D7FF5}">
      <text>
        <r>
          <rPr>
            <sz val="11"/>
            <color theme="1"/>
            <rFont val="Calibri"/>
            <family val="2"/>
            <scheme val="minor"/>
          </rPr>
          <t>Introduzca un codigo UNSPSC</t>
        </r>
      </text>
    </comment>
    <comment ref="B334" authorId="2" shapeId="0" xr:uid="{4A087870-D33A-4145-8078-7962FC2EEE2D}">
      <text>
        <r>
          <rPr>
            <sz val="11"/>
            <color theme="1"/>
            <rFont val="Calibri"/>
            <family val="2"/>
            <scheme val="minor"/>
          </rPr>
          <t>Descripción calculada automáticamente a partir de código del artículo</t>
        </r>
      </text>
    </comment>
    <comment ref="C334" authorId="2" shapeId="0" xr:uid="{FF658D61-C0CD-47D6-9EC1-4DE9EFDF8315}">
      <text>
        <r>
          <rPr>
            <sz val="11"/>
            <color theme="1"/>
            <rFont val="Calibri"/>
            <family val="2"/>
            <scheme val="minor"/>
          </rPr>
          <t>Seleccione un valor de la lista</t>
        </r>
      </text>
    </comment>
    <comment ref="D334" authorId="2" shapeId="0" xr:uid="{444469FF-15A4-4ACC-AC96-9E108D540C92}">
      <text>
        <r>
          <rPr>
            <sz val="11"/>
            <color theme="1"/>
            <rFont val="Calibri"/>
            <family val="2"/>
            <scheme val="minor"/>
          </rPr>
          <t>Introduzca un número con dos decimales como máximo. Debe ser igual o mayor a la "Cantidad Real Consumida"</t>
        </r>
      </text>
    </comment>
    <comment ref="E334" authorId="2" shapeId="0" xr:uid="{FB7D3D2C-881D-4302-BD13-4325555C4F8D}">
      <text>
        <r>
          <rPr>
            <sz val="11"/>
            <color theme="1"/>
            <rFont val="Calibri"/>
            <family val="2"/>
            <scheme val="minor"/>
          </rPr>
          <t>Introduzca un número con dos decimales como máximo</t>
        </r>
      </text>
    </comment>
    <comment ref="F334" authorId="2" shapeId="0" xr:uid="{3172D0AD-91A8-4FE1-B42A-EF6F40DF2B45}">
      <text>
        <r>
          <rPr>
            <sz val="11"/>
            <color theme="1"/>
            <rFont val="Calibri"/>
            <family val="2"/>
            <scheme val="minor"/>
          </rPr>
          <t>Monto calculado automáticamente por el sistema</t>
        </r>
      </text>
    </comment>
    <comment ref="A339" authorId="2" shapeId="0" xr:uid="{9EC2E4FB-0CC7-4D7E-B9D5-1E41A6FF809B}">
      <text>
        <r>
          <rPr>
            <sz val="11"/>
            <color theme="1"/>
            <rFont val="Calibri"/>
            <family val="2"/>
            <scheme val="minor"/>
          </rPr>
          <t>Introducir un texto con el nombre o referencia de la contratación</t>
        </r>
      </text>
    </comment>
    <comment ref="B339" authorId="2" shapeId="0" xr:uid="{DE7C5AE6-920C-47D9-B875-67C6602D46CA}">
      <text>
        <r>
          <rPr>
            <sz val="11"/>
            <color theme="1"/>
            <rFont val="Calibri"/>
            <family val="2"/>
            <scheme val="minor"/>
          </rPr>
          <t>Introduzca un texto con la finalidad de la contratación</t>
        </r>
      </text>
    </comment>
    <comment ref="C339" authorId="2" shapeId="0" xr:uid="{3476DDD3-0AE5-4BA4-AD1D-91E58A3906DF}">
      <text>
        <r>
          <rPr>
            <sz val="11"/>
            <color theme="1"/>
            <rFont val="Calibri"/>
            <family val="2"/>
            <scheme val="minor"/>
          </rPr>
          <t>Seleccionar un valor del listado</t>
        </r>
      </text>
    </comment>
    <comment ref="D339" authorId="2" shapeId="0" xr:uid="{D041275D-9F69-45C0-84D1-1DBF06BFEF9C}">
      <text>
        <r>
          <rPr>
            <sz val="11"/>
            <color theme="1"/>
            <rFont val="Calibri"/>
            <family val="2"/>
            <scheme val="minor"/>
          </rPr>
          <t>Seleccione el tipo de procedimiento</t>
        </r>
      </text>
    </comment>
    <comment ref="E339" authorId="2" shapeId="0" xr:uid="{0B304A4E-563C-4B7E-A103-FEC299F04FF7}">
      <text>
        <r>
          <rPr>
            <sz val="11"/>
            <color theme="1"/>
            <rFont val="Calibri"/>
            <family val="2"/>
            <scheme val="minor"/>
          </rPr>
          <t>Seleccione un valor de la lista</t>
        </r>
      </text>
    </comment>
    <comment ref="F339" authorId="2" shapeId="0" xr:uid="{BB2A4194-98B5-4343-ACB9-684C2DB2F612}">
      <text>
        <r>
          <rPr>
            <sz val="11"/>
            <color theme="1"/>
            <rFont val="Calibri"/>
            <family val="2"/>
            <scheme val="minor"/>
          </rPr>
          <t>Introduzca el código SNIP</t>
        </r>
      </text>
    </comment>
    <comment ref="C340" authorId="2" shapeId="0" xr:uid="{442B6B5B-5AAC-48D5-95BE-F4C37A69E060}">
      <text>
        <r>
          <rPr>
            <sz val="11"/>
            <color theme="1"/>
            <rFont val="Calibri"/>
            <family val="2"/>
            <scheme val="minor"/>
          </rPr>
          <t>Introduzca la fecha de inicio del proceso, en formato dd-mm-aaaa</t>
        </r>
      </text>
    </comment>
    <comment ref="F340" authorId="2" shapeId="0" xr:uid="{AEEB76E6-9BE0-48D3-9280-77C37A71F4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xr:uid="{FC77DFDF-DFA8-4B68-B8A8-90EC7034CA1C}">
      <text/>
    </comment>
    <comment ref="C342" authorId="2" shapeId="0" xr:uid="{941CB40B-C495-420F-BF13-0EACF112A215}">
      <text>
        <r>
          <rPr>
            <sz val="11"/>
            <color theme="1"/>
            <rFont val="Calibri"/>
            <family val="2"/>
            <scheme val="minor"/>
          </rPr>
          <t>Introduzca la fecha prevista de adjudicación, en formato dd-mm-aaaa</t>
        </r>
      </text>
    </comment>
    <comment ref="F342" authorId="2" shapeId="0" xr:uid="{C5473461-81FE-4AD5-B083-92BFACC17B7F}">
      <text/>
    </comment>
    <comment ref="F343" authorId="2" shapeId="0" xr:uid="{4C30DF03-EB71-4A39-89D4-A5E1914C514C}">
      <text/>
    </comment>
    <comment ref="A345" authorId="2" shapeId="0" xr:uid="{0CA6B837-25F8-4B3F-B919-DE016F83EEA0}">
      <text>
        <r>
          <rPr>
            <sz val="11"/>
            <color theme="1"/>
            <rFont val="Calibri"/>
            <family val="2"/>
            <scheme val="minor"/>
          </rPr>
          <t>Introduzca un codigo UNSPSC</t>
        </r>
      </text>
    </comment>
    <comment ref="B345" authorId="2" shapeId="0" xr:uid="{7CEDBEBA-6D6A-44CC-936A-CE572D2BF4EE}">
      <text>
        <r>
          <rPr>
            <sz val="11"/>
            <color theme="1"/>
            <rFont val="Calibri"/>
            <family val="2"/>
            <scheme val="minor"/>
          </rPr>
          <t>Descripción calculada automáticamente a partir de código del artículo</t>
        </r>
      </text>
    </comment>
    <comment ref="C345" authorId="2" shapeId="0" xr:uid="{4806FF20-512A-46A3-B5A0-2B1CE7076982}">
      <text>
        <r>
          <rPr>
            <sz val="11"/>
            <color theme="1"/>
            <rFont val="Calibri"/>
            <family val="2"/>
            <scheme val="minor"/>
          </rPr>
          <t>Seleccione un valor de la lista</t>
        </r>
      </text>
    </comment>
    <comment ref="D345" authorId="2" shapeId="0" xr:uid="{85FAA728-8395-45F0-BB55-016A5D2F7775}">
      <text>
        <r>
          <rPr>
            <sz val="11"/>
            <color theme="1"/>
            <rFont val="Calibri"/>
            <family val="2"/>
            <scheme val="minor"/>
          </rPr>
          <t>Introduzca un número con dos decimales como máximo. Debe ser igual o mayor a la "Cantidad Real Consumida"</t>
        </r>
      </text>
    </comment>
    <comment ref="E345" authorId="2" shapeId="0" xr:uid="{690B2C03-C8F9-476F-860C-2F7FA686B291}">
      <text>
        <r>
          <rPr>
            <sz val="11"/>
            <color theme="1"/>
            <rFont val="Calibri"/>
            <family val="2"/>
            <scheme val="minor"/>
          </rPr>
          <t>Introduzca un número con dos decimales como máximo</t>
        </r>
      </text>
    </comment>
    <comment ref="F345" authorId="2" shapeId="0" xr:uid="{A72671EE-6C0A-48D1-822D-DEA5B84B4541}">
      <text>
        <r>
          <rPr>
            <sz val="11"/>
            <color theme="1"/>
            <rFont val="Calibri"/>
            <family val="2"/>
            <scheme val="minor"/>
          </rPr>
          <t>Monto calculado automáticamente por el sistema</t>
        </r>
      </text>
    </comment>
    <comment ref="A350" authorId="2" shapeId="0" xr:uid="{991BA8CA-1C02-4A90-9632-55DFC6F903F8}">
      <text>
        <r>
          <rPr>
            <sz val="11"/>
            <color theme="1"/>
            <rFont val="Calibri"/>
            <family val="2"/>
            <scheme val="minor"/>
          </rPr>
          <t>Introducir un texto con el nombre o referencia de la contratación</t>
        </r>
      </text>
    </comment>
    <comment ref="B350" authorId="2" shapeId="0" xr:uid="{4DFEC580-E338-4E58-9391-BDC7F7EC4271}">
      <text>
        <r>
          <rPr>
            <sz val="11"/>
            <color theme="1"/>
            <rFont val="Calibri"/>
            <family val="2"/>
            <scheme val="minor"/>
          </rPr>
          <t>Introduzca un texto con la finalidad de la contratación</t>
        </r>
      </text>
    </comment>
    <comment ref="C350" authorId="2" shapeId="0" xr:uid="{14C9F98B-11E0-4802-9474-1E241F9CFAEC}">
      <text>
        <r>
          <rPr>
            <sz val="11"/>
            <color theme="1"/>
            <rFont val="Calibri"/>
            <family val="2"/>
            <scheme val="minor"/>
          </rPr>
          <t>Seleccionar un valor del listado</t>
        </r>
      </text>
    </comment>
    <comment ref="D350" authorId="2" shapeId="0" xr:uid="{0FB2FE5B-EF2B-4AEA-8D23-9F7E52A93161}">
      <text>
        <r>
          <rPr>
            <sz val="11"/>
            <color theme="1"/>
            <rFont val="Calibri"/>
            <family val="2"/>
            <scheme val="minor"/>
          </rPr>
          <t>Seleccione el tipo de procedimiento</t>
        </r>
      </text>
    </comment>
    <comment ref="E350" authorId="2" shapeId="0" xr:uid="{71EB5484-9274-4273-ABD7-93B996980CBB}">
      <text>
        <r>
          <rPr>
            <sz val="11"/>
            <color theme="1"/>
            <rFont val="Calibri"/>
            <family val="2"/>
            <scheme val="minor"/>
          </rPr>
          <t>Seleccione un valor de la lista</t>
        </r>
      </text>
    </comment>
    <comment ref="F350" authorId="2" shapeId="0" xr:uid="{9E914991-BD65-491B-95AC-12C0074BB45C}">
      <text>
        <r>
          <rPr>
            <sz val="11"/>
            <color theme="1"/>
            <rFont val="Calibri"/>
            <family val="2"/>
            <scheme val="minor"/>
          </rPr>
          <t>Introduzca el código SNIP</t>
        </r>
      </text>
    </comment>
    <comment ref="C351" authorId="2" shapeId="0" xr:uid="{071E5425-73D0-4BA4-9E43-23EF37542ECE}">
      <text>
        <r>
          <rPr>
            <sz val="11"/>
            <color theme="1"/>
            <rFont val="Calibri"/>
            <family val="2"/>
            <scheme val="minor"/>
          </rPr>
          <t>Introduzca la fecha de inicio del proceso, en formato dd-mm-aaaa</t>
        </r>
      </text>
    </comment>
    <comment ref="F351" authorId="2" shapeId="0" xr:uid="{B3698EA2-29F3-4D7E-A94E-57476BCB24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2" shapeId="0" xr:uid="{2353C4DA-DB65-4E05-B389-8B8613C07311}">
      <text/>
    </comment>
    <comment ref="C353" authorId="2" shapeId="0" xr:uid="{CFFF5FFA-5825-4D9E-8E1C-C5F5B0B68633}">
      <text>
        <r>
          <rPr>
            <sz val="11"/>
            <color theme="1"/>
            <rFont val="Calibri"/>
            <family val="2"/>
            <scheme val="minor"/>
          </rPr>
          <t>Introduzca la fecha prevista de adjudicación, en formato dd-mm-aaaa</t>
        </r>
      </text>
    </comment>
    <comment ref="F353" authorId="2" shapeId="0" xr:uid="{28521D99-72C6-4AF6-AFAF-F5120452B072}">
      <text/>
    </comment>
    <comment ref="F354" authorId="2" shapeId="0" xr:uid="{106BB2FB-674D-4AB5-A838-28229AC15B86}">
      <text/>
    </comment>
    <comment ref="A356" authorId="2" shapeId="0" xr:uid="{8CFB9E0B-A82E-4916-87F3-5E500B0AC963}">
      <text>
        <r>
          <rPr>
            <sz val="11"/>
            <color theme="1"/>
            <rFont val="Calibri"/>
            <family val="2"/>
            <scheme val="minor"/>
          </rPr>
          <t>Introduzca un codigo UNSPSC</t>
        </r>
      </text>
    </comment>
    <comment ref="B356" authorId="2" shapeId="0" xr:uid="{4D302BD2-79B9-430A-BDEB-E09C3C4B8377}">
      <text>
        <r>
          <rPr>
            <sz val="11"/>
            <color theme="1"/>
            <rFont val="Calibri"/>
            <family val="2"/>
            <scheme val="minor"/>
          </rPr>
          <t>Descripción calculada automáticamente a partir de código del artículo</t>
        </r>
      </text>
    </comment>
    <comment ref="C356" authorId="2" shapeId="0" xr:uid="{2A8B08B5-C816-45B3-989B-1B571E6BAFDE}">
      <text>
        <r>
          <rPr>
            <sz val="11"/>
            <color theme="1"/>
            <rFont val="Calibri"/>
            <family val="2"/>
            <scheme val="minor"/>
          </rPr>
          <t>Seleccione un valor de la lista</t>
        </r>
      </text>
    </comment>
    <comment ref="D356" authorId="2" shapeId="0" xr:uid="{B06397FE-E579-43EF-9EA6-140D99EA0D47}">
      <text>
        <r>
          <rPr>
            <sz val="11"/>
            <color theme="1"/>
            <rFont val="Calibri"/>
            <family val="2"/>
            <scheme val="minor"/>
          </rPr>
          <t>Introduzca un número con dos decimales como máximo. Debe ser igual o mayor a la "Cantidad Real Consumida"</t>
        </r>
      </text>
    </comment>
    <comment ref="E356" authorId="2" shapeId="0" xr:uid="{270C639D-4F3D-4F5C-B959-100947FBEB28}">
      <text>
        <r>
          <rPr>
            <sz val="11"/>
            <color theme="1"/>
            <rFont val="Calibri"/>
            <family val="2"/>
            <scheme val="minor"/>
          </rPr>
          <t>Introduzca un número con dos decimales como máximo</t>
        </r>
      </text>
    </comment>
    <comment ref="F356" authorId="2" shapeId="0" xr:uid="{75579014-3E12-49FF-9179-8C6687BCBA1A}">
      <text>
        <r>
          <rPr>
            <sz val="11"/>
            <color theme="1"/>
            <rFont val="Calibri"/>
            <family val="2"/>
            <scheme val="minor"/>
          </rPr>
          <t>Monto calculado automáticamente por el sistema</t>
        </r>
      </text>
    </comment>
    <comment ref="A361" authorId="2" shapeId="0" xr:uid="{0F27BAD6-3241-4288-A32C-388D3F6F6EDC}">
      <text>
        <r>
          <rPr>
            <sz val="11"/>
            <color theme="1"/>
            <rFont val="Calibri"/>
            <family val="2"/>
            <scheme val="minor"/>
          </rPr>
          <t>Introducir un texto con el nombre o referencia de la contratación</t>
        </r>
      </text>
    </comment>
    <comment ref="B361" authorId="2" shapeId="0" xr:uid="{4618C6B4-0A7E-4DC9-97F0-F6547ABFE615}">
      <text>
        <r>
          <rPr>
            <sz val="11"/>
            <color theme="1"/>
            <rFont val="Calibri"/>
            <family val="2"/>
            <scheme val="minor"/>
          </rPr>
          <t>Introduzca un texto con la finalidad de la contratación</t>
        </r>
      </text>
    </comment>
    <comment ref="C361" authorId="2" shapeId="0" xr:uid="{3EB3975C-66BF-4F26-A32F-0FF656F2076C}">
      <text>
        <r>
          <rPr>
            <sz val="11"/>
            <color theme="1"/>
            <rFont val="Calibri"/>
            <family val="2"/>
            <scheme val="minor"/>
          </rPr>
          <t>Seleccionar un valor del listado</t>
        </r>
      </text>
    </comment>
    <comment ref="D361" authorId="2" shapeId="0" xr:uid="{EF218DC5-7B6F-49F5-ACE3-CAD1CA4D5865}">
      <text>
        <r>
          <rPr>
            <sz val="11"/>
            <color theme="1"/>
            <rFont val="Calibri"/>
            <family val="2"/>
            <scheme val="minor"/>
          </rPr>
          <t>Seleccione el tipo de procedimiento</t>
        </r>
      </text>
    </comment>
    <comment ref="E361" authorId="2" shapeId="0" xr:uid="{75624EE5-73FD-4B45-B424-11ED2B98C1BC}">
      <text>
        <r>
          <rPr>
            <sz val="11"/>
            <color theme="1"/>
            <rFont val="Calibri"/>
            <family val="2"/>
            <scheme val="minor"/>
          </rPr>
          <t>Seleccione un valor de la lista</t>
        </r>
      </text>
    </comment>
    <comment ref="F361" authorId="2" shapeId="0" xr:uid="{BBA3B11C-7012-4A28-B19B-DB02E5843CFF}">
      <text>
        <r>
          <rPr>
            <sz val="11"/>
            <color theme="1"/>
            <rFont val="Calibri"/>
            <family val="2"/>
            <scheme val="minor"/>
          </rPr>
          <t>Introduzca el código SNIP</t>
        </r>
      </text>
    </comment>
    <comment ref="C362" authorId="2" shapeId="0" xr:uid="{2666FD5C-B566-41E5-882A-392C2523AC8E}">
      <text>
        <r>
          <rPr>
            <sz val="11"/>
            <color theme="1"/>
            <rFont val="Calibri"/>
            <family val="2"/>
            <scheme val="minor"/>
          </rPr>
          <t>Introduzca la fecha de inicio del proceso, en formato dd-mm-aaaa</t>
        </r>
      </text>
    </comment>
    <comment ref="F362" authorId="2" shapeId="0" xr:uid="{482BDDCB-5048-474C-898F-CB6AFEEA1A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shapeId="0" xr:uid="{77D1FABD-559D-4597-AF51-9DD3C00B307C}">
      <text/>
    </comment>
    <comment ref="C364" authorId="2" shapeId="0" xr:uid="{AFD627D2-9FF0-4AE0-9FC9-0C17866F864A}">
      <text>
        <r>
          <rPr>
            <sz val="11"/>
            <color theme="1"/>
            <rFont val="Calibri"/>
            <family val="2"/>
            <scheme val="minor"/>
          </rPr>
          <t>Introduzca la fecha prevista de adjudicación, en formato dd-mm-aaaa</t>
        </r>
      </text>
    </comment>
    <comment ref="F364" authorId="2" shapeId="0" xr:uid="{CE840543-0066-496E-A57E-6F0AF33AEA94}">
      <text/>
    </comment>
    <comment ref="F365" authorId="2" shapeId="0" xr:uid="{319FFE2D-9815-4C26-B26E-C794EF56535A}">
      <text/>
    </comment>
    <comment ref="A367" authorId="2" shapeId="0" xr:uid="{3FE52EC5-8072-4C75-8E60-0B0BBE667695}">
      <text>
        <r>
          <rPr>
            <sz val="11"/>
            <color theme="1"/>
            <rFont val="Calibri"/>
            <family val="2"/>
            <scheme val="minor"/>
          </rPr>
          <t>Introduzca un codigo UNSPSC</t>
        </r>
      </text>
    </comment>
    <comment ref="B367" authorId="2" shapeId="0" xr:uid="{33A70D9E-5C35-47E3-B401-C4AC9BD6772F}">
      <text>
        <r>
          <rPr>
            <sz val="11"/>
            <color theme="1"/>
            <rFont val="Calibri"/>
            <family val="2"/>
            <scheme val="minor"/>
          </rPr>
          <t>Descripción calculada automáticamente a partir de código del artículo</t>
        </r>
      </text>
    </comment>
    <comment ref="C367" authorId="2" shapeId="0" xr:uid="{E36E3C79-6F28-421A-BD8D-2259D0A178C0}">
      <text>
        <r>
          <rPr>
            <sz val="11"/>
            <color theme="1"/>
            <rFont val="Calibri"/>
            <family val="2"/>
            <scheme val="minor"/>
          </rPr>
          <t>Seleccione un valor de la lista</t>
        </r>
      </text>
    </comment>
    <comment ref="D367" authorId="2" shapeId="0" xr:uid="{B9997DBC-BF3A-41EF-8037-C42D9B02266E}">
      <text>
        <r>
          <rPr>
            <sz val="11"/>
            <color theme="1"/>
            <rFont val="Calibri"/>
            <family val="2"/>
            <scheme val="minor"/>
          </rPr>
          <t>Introduzca un número con dos decimales como máximo. Debe ser igual o mayor a la "Cantidad Real Consumida"</t>
        </r>
      </text>
    </comment>
    <comment ref="E367" authorId="2" shapeId="0" xr:uid="{25AC3D5B-6E92-4B73-A20A-B9ADAF93C383}">
      <text>
        <r>
          <rPr>
            <sz val="11"/>
            <color theme="1"/>
            <rFont val="Calibri"/>
            <family val="2"/>
            <scheme val="minor"/>
          </rPr>
          <t>Introduzca un número con dos decimales como máximo</t>
        </r>
      </text>
    </comment>
    <comment ref="F367" authorId="2" shapeId="0" xr:uid="{F3A3239C-2DA9-467F-96B1-C40434C44C40}">
      <text>
        <r>
          <rPr>
            <sz val="11"/>
            <color theme="1"/>
            <rFont val="Calibri"/>
            <family val="2"/>
            <scheme val="minor"/>
          </rPr>
          <t>Monto calculado automáticamente por el sistema</t>
        </r>
      </text>
    </comment>
    <comment ref="A372" authorId="2" shapeId="0" xr:uid="{0EDFF074-6FE6-4DCD-998C-7669A8533412}">
      <text>
        <r>
          <rPr>
            <sz val="11"/>
            <color theme="1"/>
            <rFont val="Calibri"/>
            <family val="2"/>
            <scheme val="minor"/>
          </rPr>
          <t>Introducir un texto con el nombre o referencia de la contratación</t>
        </r>
      </text>
    </comment>
    <comment ref="B372" authorId="2" shapeId="0" xr:uid="{C9E5A682-9E68-4186-9804-16D4630CC252}">
      <text>
        <r>
          <rPr>
            <sz val="11"/>
            <color theme="1"/>
            <rFont val="Calibri"/>
            <family val="2"/>
            <scheme val="minor"/>
          </rPr>
          <t>Introduzca un texto con la finalidad de la contratación</t>
        </r>
      </text>
    </comment>
    <comment ref="C372" authorId="2" shapeId="0" xr:uid="{431F2C8A-BC4A-4A97-8D2F-B5B88B70224E}">
      <text>
        <r>
          <rPr>
            <sz val="11"/>
            <color theme="1"/>
            <rFont val="Calibri"/>
            <family val="2"/>
            <scheme val="minor"/>
          </rPr>
          <t>Seleccionar un valor del listado</t>
        </r>
      </text>
    </comment>
    <comment ref="D372" authorId="2" shapeId="0" xr:uid="{E360C96D-D454-4E94-BB90-3E1A6E3184EB}">
      <text>
        <r>
          <rPr>
            <sz val="11"/>
            <color theme="1"/>
            <rFont val="Calibri"/>
            <family val="2"/>
            <scheme val="minor"/>
          </rPr>
          <t>Seleccione el tipo de procedimiento</t>
        </r>
      </text>
    </comment>
    <comment ref="E372" authorId="2" shapeId="0" xr:uid="{B76F5ECB-3D71-4C64-BAF7-68D34DDEAEB3}">
      <text>
        <r>
          <rPr>
            <sz val="11"/>
            <color theme="1"/>
            <rFont val="Calibri"/>
            <family val="2"/>
            <scheme val="minor"/>
          </rPr>
          <t>Seleccione un valor de la lista</t>
        </r>
      </text>
    </comment>
    <comment ref="F372" authorId="2" shapeId="0" xr:uid="{F2D8076C-9A14-4433-8315-D6CC9B35FCF0}">
      <text>
        <r>
          <rPr>
            <sz val="11"/>
            <color theme="1"/>
            <rFont val="Calibri"/>
            <family val="2"/>
            <scheme val="minor"/>
          </rPr>
          <t>Introduzca el código SNIP</t>
        </r>
      </text>
    </comment>
    <comment ref="C373" authorId="2" shapeId="0" xr:uid="{BFD28F91-76BE-4DDC-B987-1823EB70FF1B}">
      <text>
        <r>
          <rPr>
            <sz val="11"/>
            <color theme="1"/>
            <rFont val="Calibri"/>
            <family val="2"/>
            <scheme val="minor"/>
          </rPr>
          <t>Introduzca la fecha de inicio del proceso, en formato dd-mm-aaaa</t>
        </r>
      </text>
    </comment>
    <comment ref="F373" authorId="2" shapeId="0" xr:uid="{B03E4AF4-D58A-4DEB-BBBD-CD9AE645CB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2" shapeId="0" xr:uid="{7B4B06C3-A05C-4931-8EA4-1F2B9D9C3F74}">
      <text/>
    </comment>
    <comment ref="C375" authorId="2" shapeId="0" xr:uid="{2BEEDC75-71E1-425B-92AE-F508507E19F6}">
      <text>
        <r>
          <rPr>
            <sz val="11"/>
            <color theme="1"/>
            <rFont val="Calibri"/>
            <family val="2"/>
            <scheme val="minor"/>
          </rPr>
          <t>Introduzca la fecha prevista de adjudicación, en formato dd-mm-aaaa</t>
        </r>
      </text>
    </comment>
    <comment ref="F375" authorId="2" shapeId="0" xr:uid="{BA495574-0E0C-455A-B0CC-7E9247EF389C}">
      <text/>
    </comment>
    <comment ref="F376" authorId="2" shapeId="0" xr:uid="{461CEAEE-4E03-4572-A424-16948E918C6C}">
      <text/>
    </comment>
    <comment ref="A378" authorId="2" shapeId="0" xr:uid="{7CBDCA8C-4AA4-41B6-9CEB-8270958DDA21}">
      <text>
        <r>
          <rPr>
            <sz val="11"/>
            <color theme="1"/>
            <rFont val="Calibri"/>
            <family val="2"/>
            <scheme val="minor"/>
          </rPr>
          <t>Introduzca un codigo UNSPSC</t>
        </r>
      </text>
    </comment>
    <comment ref="B378" authorId="2" shapeId="0" xr:uid="{3C0ACDF0-75CA-4254-97F6-94B8E4DFE707}">
      <text>
        <r>
          <rPr>
            <sz val="11"/>
            <color theme="1"/>
            <rFont val="Calibri"/>
            <family val="2"/>
            <scheme val="minor"/>
          </rPr>
          <t>Descripción calculada automáticamente a partir de código del artículo</t>
        </r>
      </text>
    </comment>
    <comment ref="C378" authorId="2" shapeId="0" xr:uid="{A4325153-9F4C-43A1-BED5-4707C839D0E2}">
      <text>
        <r>
          <rPr>
            <sz val="11"/>
            <color theme="1"/>
            <rFont val="Calibri"/>
            <family val="2"/>
            <scheme val="minor"/>
          </rPr>
          <t>Seleccione un valor de la lista</t>
        </r>
      </text>
    </comment>
    <comment ref="D378" authorId="2" shapeId="0" xr:uid="{F99B55C7-9917-441F-AC5F-EB5AB7AC8598}">
      <text>
        <r>
          <rPr>
            <sz val="11"/>
            <color theme="1"/>
            <rFont val="Calibri"/>
            <family val="2"/>
            <scheme val="minor"/>
          </rPr>
          <t>Introduzca un número con dos decimales como máximo. Debe ser igual o mayor a la "Cantidad Real Consumida"</t>
        </r>
      </text>
    </comment>
    <comment ref="E378" authorId="2" shapeId="0" xr:uid="{A46B749D-16D3-4C56-BCC6-C2E725251086}">
      <text>
        <r>
          <rPr>
            <sz val="11"/>
            <color theme="1"/>
            <rFont val="Calibri"/>
            <family val="2"/>
            <scheme val="minor"/>
          </rPr>
          <t>Introduzca un número con dos decimales como máximo</t>
        </r>
      </text>
    </comment>
    <comment ref="F378" authorId="2" shapeId="0" xr:uid="{AEC2FE90-BF47-41C1-83DB-09409713AB58}">
      <text>
        <r>
          <rPr>
            <sz val="11"/>
            <color theme="1"/>
            <rFont val="Calibri"/>
            <family val="2"/>
            <scheme val="minor"/>
          </rPr>
          <t>Monto calculado automáticamente por el sistema</t>
        </r>
      </text>
    </comment>
    <comment ref="A383" authorId="2" shapeId="0" xr:uid="{62D854ED-DBFE-4C16-94C9-C70316C698C0}">
      <text>
        <r>
          <rPr>
            <sz val="11"/>
            <color theme="1"/>
            <rFont val="Calibri"/>
            <family val="2"/>
            <scheme val="minor"/>
          </rPr>
          <t>Introducir un texto con el nombre o referencia de la contratación</t>
        </r>
      </text>
    </comment>
    <comment ref="B383" authorId="2" shapeId="0" xr:uid="{27878E59-A4A2-4E4E-87F4-352E7982C772}">
      <text>
        <r>
          <rPr>
            <sz val="11"/>
            <color theme="1"/>
            <rFont val="Calibri"/>
            <family val="2"/>
            <scheme val="minor"/>
          </rPr>
          <t>Introduzca un texto con la finalidad de la contratación</t>
        </r>
      </text>
    </comment>
    <comment ref="C383" authorId="2" shapeId="0" xr:uid="{2FE401F2-50D4-49B8-B295-6B25727EA20B}">
      <text>
        <r>
          <rPr>
            <sz val="11"/>
            <color theme="1"/>
            <rFont val="Calibri"/>
            <family val="2"/>
            <scheme val="minor"/>
          </rPr>
          <t>Seleccionar un valor del listado</t>
        </r>
      </text>
    </comment>
    <comment ref="D383" authorId="2" shapeId="0" xr:uid="{E5F39E5B-A173-4C62-A357-27904D884241}">
      <text>
        <r>
          <rPr>
            <sz val="11"/>
            <color theme="1"/>
            <rFont val="Calibri"/>
            <family val="2"/>
            <scheme val="minor"/>
          </rPr>
          <t>Seleccione el tipo de procedimiento</t>
        </r>
      </text>
    </comment>
    <comment ref="E383" authorId="2" shapeId="0" xr:uid="{D66D5E4C-B006-4A7C-9B77-A9A714AA8EEF}">
      <text>
        <r>
          <rPr>
            <sz val="11"/>
            <color theme="1"/>
            <rFont val="Calibri"/>
            <family val="2"/>
            <scheme val="minor"/>
          </rPr>
          <t>Seleccione un valor de la lista</t>
        </r>
      </text>
    </comment>
    <comment ref="F383" authorId="2" shapeId="0" xr:uid="{8A49DF87-7F3D-4D46-AAF9-409AF2EDA15F}">
      <text>
        <r>
          <rPr>
            <sz val="11"/>
            <color theme="1"/>
            <rFont val="Calibri"/>
            <family val="2"/>
            <scheme val="minor"/>
          </rPr>
          <t>Introduzca el código SNIP</t>
        </r>
      </text>
    </comment>
    <comment ref="C384" authorId="2" shapeId="0" xr:uid="{13D63F7F-190B-47B1-BA33-57FB6A018E5B}">
      <text>
        <r>
          <rPr>
            <sz val="11"/>
            <color theme="1"/>
            <rFont val="Calibri"/>
            <family val="2"/>
            <scheme val="minor"/>
          </rPr>
          <t>Introduzca la fecha de inicio del proceso, en formato dd-mm-aaaa</t>
        </r>
      </text>
    </comment>
    <comment ref="F384" authorId="2" shapeId="0" xr:uid="{1F7EF432-6AFE-42C7-924A-7FB09AE11F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xr:uid="{25AF43A2-0BEB-4CD6-9DDF-BAB1C3974CFD}">
      <text/>
    </comment>
    <comment ref="C386" authorId="2" shapeId="0" xr:uid="{CDE2FA86-9777-4F40-9E9B-0C7CA5E4ACC9}">
      <text>
        <r>
          <rPr>
            <sz val="11"/>
            <color theme="1"/>
            <rFont val="Calibri"/>
            <family val="2"/>
            <scheme val="minor"/>
          </rPr>
          <t>Introduzca la fecha prevista de adjudicación, en formato dd-mm-aaaa</t>
        </r>
      </text>
    </comment>
    <comment ref="F386" authorId="2" shapeId="0" xr:uid="{5ABF6D4B-781C-4872-B14C-BF40C69A1556}">
      <text/>
    </comment>
    <comment ref="F387" authorId="2" shapeId="0" xr:uid="{7B7E2CC3-4D08-40EB-B0B7-70A79FD6B28D}">
      <text/>
    </comment>
    <comment ref="A389" authorId="2" shapeId="0" xr:uid="{FB4B8A62-192E-42A9-851F-AC61FC6B30BA}">
      <text>
        <r>
          <rPr>
            <sz val="11"/>
            <color theme="1"/>
            <rFont val="Calibri"/>
            <family val="2"/>
            <scheme val="minor"/>
          </rPr>
          <t>Introduzca un codigo UNSPSC</t>
        </r>
      </text>
    </comment>
    <comment ref="B389" authorId="2" shapeId="0" xr:uid="{07DDFA91-5315-42C9-8758-02F01C5E5E65}">
      <text>
        <r>
          <rPr>
            <sz val="11"/>
            <color theme="1"/>
            <rFont val="Calibri"/>
            <family val="2"/>
            <scheme val="minor"/>
          </rPr>
          <t>Descripción calculada automáticamente a partir de código del artículo</t>
        </r>
      </text>
    </comment>
    <comment ref="C389" authorId="2" shapeId="0" xr:uid="{657CEE52-CC38-4A17-988B-4B57049A8AB5}">
      <text>
        <r>
          <rPr>
            <sz val="11"/>
            <color theme="1"/>
            <rFont val="Calibri"/>
            <family val="2"/>
            <scheme val="minor"/>
          </rPr>
          <t>Seleccione un valor de la lista</t>
        </r>
      </text>
    </comment>
    <comment ref="D389" authorId="2" shapeId="0" xr:uid="{69187715-A891-45EB-BB79-66953D74173E}">
      <text>
        <r>
          <rPr>
            <sz val="11"/>
            <color theme="1"/>
            <rFont val="Calibri"/>
            <family val="2"/>
            <scheme val="minor"/>
          </rPr>
          <t>Introduzca un número con dos decimales como máximo. Debe ser igual o mayor a la "Cantidad Real Consumida"</t>
        </r>
      </text>
    </comment>
    <comment ref="E389" authorId="2" shapeId="0" xr:uid="{0AE7C274-962C-434C-AB74-D866AA0DD8EE}">
      <text>
        <r>
          <rPr>
            <sz val="11"/>
            <color theme="1"/>
            <rFont val="Calibri"/>
            <family val="2"/>
            <scheme val="minor"/>
          </rPr>
          <t>Introduzca un número con dos decimales como máximo</t>
        </r>
      </text>
    </comment>
    <comment ref="F389" authorId="2" shapeId="0" xr:uid="{A1D4A895-A1CD-4346-B00C-E92B999676D0}">
      <text>
        <r>
          <rPr>
            <sz val="11"/>
            <color theme="1"/>
            <rFont val="Calibri"/>
            <family val="2"/>
            <scheme val="minor"/>
          </rPr>
          <t>Monto calculado automáticamente por el sistema</t>
        </r>
      </text>
    </comment>
    <comment ref="A394" authorId="2" shapeId="0" xr:uid="{60C53D64-DA9F-4960-BB10-39495549A0EF}">
      <text>
        <r>
          <rPr>
            <sz val="11"/>
            <color theme="1"/>
            <rFont val="Calibri"/>
            <family val="2"/>
            <scheme val="minor"/>
          </rPr>
          <t>Introducir un texto con el nombre o referencia de la contratación</t>
        </r>
      </text>
    </comment>
    <comment ref="B394" authorId="2" shapeId="0" xr:uid="{FC3808B2-16BC-481A-893C-BA7417A65771}">
      <text>
        <r>
          <rPr>
            <sz val="11"/>
            <color theme="1"/>
            <rFont val="Calibri"/>
            <family val="2"/>
            <scheme val="minor"/>
          </rPr>
          <t>Introduzca un texto con la finalidad de la contratación</t>
        </r>
      </text>
    </comment>
    <comment ref="C394" authorId="2" shapeId="0" xr:uid="{20A3F586-E58B-4969-8CA7-53C13B1B6BC6}">
      <text>
        <r>
          <rPr>
            <sz val="11"/>
            <color theme="1"/>
            <rFont val="Calibri"/>
            <family val="2"/>
            <scheme val="minor"/>
          </rPr>
          <t>Seleccionar un valor del listado</t>
        </r>
      </text>
    </comment>
    <comment ref="D394" authorId="2" shapeId="0" xr:uid="{783BD1DB-21B2-4114-BA18-0C681F76DF18}">
      <text>
        <r>
          <rPr>
            <sz val="11"/>
            <color theme="1"/>
            <rFont val="Calibri"/>
            <family val="2"/>
            <scheme val="minor"/>
          </rPr>
          <t>Seleccione el tipo de procedimiento</t>
        </r>
      </text>
    </comment>
    <comment ref="E394" authorId="2" shapeId="0" xr:uid="{E45F23E4-F26F-4F96-9C5D-4FD584DDCEAC}">
      <text>
        <r>
          <rPr>
            <sz val="11"/>
            <color theme="1"/>
            <rFont val="Calibri"/>
            <family val="2"/>
            <scheme val="minor"/>
          </rPr>
          <t>Seleccione un valor de la lista</t>
        </r>
      </text>
    </comment>
    <comment ref="F394" authorId="2" shapeId="0" xr:uid="{1BAF8F59-890C-4296-B10C-F36F764B9B45}">
      <text>
        <r>
          <rPr>
            <sz val="11"/>
            <color theme="1"/>
            <rFont val="Calibri"/>
            <family val="2"/>
            <scheme val="minor"/>
          </rPr>
          <t>Introduzca el código SNIP</t>
        </r>
      </text>
    </comment>
    <comment ref="C395" authorId="2" shapeId="0" xr:uid="{D63F9230-35B0-4AB1-BF48-F54208E672A7}">
      <text>
        <r>
          <rPr>
            <sz val="11"/>
            <color theme="1"/>
            <rFont val="Calibri"/>
            <family val="2"/>
            <scheme val="minor"/>
          </rPr>
          <t>Introduzca la fecha de inicio del proceso, en formato dd-mm-aaaa</t>
        </r>
      </text>
    </comment>
    <comment ref="F395" authorId="2" shapeId="0" xr:uid="{D38643A4-C1EA-4FFC-B5BC-48A0C5AE93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2" shapeId="0" xr:uid="{9FEE0E40-D48F-46AC-8B56-ACCC67DD1EFD}">
      <text/>
    </comment>
    <comment ref="C397" authorId="2" shapeId="0" xr:uid="{B5BFCDA6-754F-4D81-9909-E58530B1C201}">
      <text>
        <r>
          <rPr>
            <sz val="11"/>
            <color theme="1"/>
            <rFont val="Calibri"/>
            <family val="2"/>
            <scheme val="minor"/>
          </rPr>
          <t>Introduzca la fecha prevista de adjudicación, en formato dd-mm-aaaa</t>
        </r>
      </text>
    </comment>
    <comment ref="F397" authorId="2" shapeId="0" xr:uid="{C4793D5C-E224-4DBC-8650-DD5F00029FF6}">
      <text/>
    </comment>
    <comment ref="F398" authorId="2" shapeId="0" xr:uid="{FFCD12A6-7908-4294-BCBD-C1C8B024E87B}">
      <text/>
    </comment>
    <comment ref="A400" authorId="2" shapeId="0" xr:uid="{772F5A55-D547-4187-BCD4-197C52D71DE8}">
      <text>
        <r>
          <rPr>
            <sz val="11"/>
            <color theme="1"/>
            <rFont val="Calibri"/>
            <family val="2"/>
            <scheme val="minor"/>
          </rPr>
          <t>Introduzca un codigo UNSPSC</t>
        </r>
      </text>
    </comment>
    <comment ref="B400" authorId="2" shapeId="0" xr:uid="{CE2CE183-860D-4DF2-B7DA-70D8AD7A72E5}">
      <text>
        <r>
          <rPr>
            <sz val="11"/>
            <color theme="1"/>
            <rFont val="Calibri"/>
            <family val="2"/>
            <scheme val="minor"/>
          </rPr>
          <t>Descripción calculada automáticamente a partir de código del artículo</t>
        </r>
      </text>
    </comment>
    <comment ref="C400" authorId="2" shapeId="0" xr:uid="{BEA73CB8-60EC-4B61-889B-87CDA73F5942}">
      <text>
        <r>
          <rPr>
            <sz val="11"/>
            <color theme="1"/>
            <rFont val="Calibri"/>
            <family val="2"/>
            <scheme val="minor"/>
          </rPr>
          <t>Seleccione un valor de la lista</t>
        </r>
      </text>
    </comment>
    <comment ref="D400" authorId="2" shapeId="0" xr:uid="{48142521-A38F-4D85-9E2F-CF5CDF2D59EA}">
      <text>
        <r>
          <rPr>
            <sz val="11"/>
            <color theme="1"/>
            <rFont val="Calibri"/>
            <family val="2"/>
            <scheme val="minor"/>
          </rPr>
          <t>Introduzca un número con dos decimales como máximo. Debe ser igual o mayor a la "Cantidad Real Consumida"</t>
        </r>
      </text>
    </comment>
    <comment ref="E400" authorId="2" shapeId="0" xr:uid="{72E6816E-98F7-4D6D-AB2A-0B95847F39BC}">
      <text>
        <r>
          <rPr>
            <sz val="11"/>
            <color theme="1"/>
            <rFont val="Calibri"/>
            <family val="2"/>
            <scheme val="minor"/>
          </rPr>
          <t>Introduzca un número con dos decimales como máximo</t>
        </r>
      </text>
    </comment>
    <comment ref="F400" authorId="2" shapeId="0" xr:uid="{20E4104F-1A4E-4F71-9DB8-8AEEB64487A5}">
      <text>
        <r>
          <rPr>
            <sz val="11"/>
            <color theme="1"/>
            <rFont val="Calibri"/>
            <family val="2"/>
            <scheme val="minor"/>
          </rPr>
          <t>Monto calculado automáticamente por el sistema</t>
        </r>
      </text>
    </comment>
    <comment ref="A405" authorId="2" shapeId="0" xr:uid="{4FF5EE51-153B-4C2B-97AE-36957EA1020C}">
      <text>
        <r>
          <rPr>
            <sz val="11"/>
            <color theme="1"/>
            <rFont val="Calibri"/>
            <family val="2"/>
            <scheme val="minor"/>
          </rPr>
          <t>Introducir un texto con el nombre o referencia de la contratación</t>
        </r>
      </text>
    </comment>
    <comment ref="B405" authorId="2" shapeId="0" xr:uid="{060DC9B8-4D2A-4745-BCF6-956A83BBE437}">
      <text>
        <r>
          <rPr>
            <sz val="11"/>
            <color theme="1"/>
            <rFont val="Calibri"/>
            <family val="2"/>
            <scheme val="minor"/>
          </rPr>
          <t>Introduzca un texto con la finalidad de la contratación</t>
        </r>
      </text>
    </comment>
    <comment ref="C405" authorId="2" shapeId="0" xr:uid="{386CF8BB-351E-4117-A540-2A4BD8F1AA62}">
      <text>
        <r>
          <rPr>
            <sz val="11"/>
            <color theme="1"/>
            <rFont val="Calibri"/>
            <family val="2"/>
            <scheme val="minor"/>
          </rPr>
          <t>Seleccionar un valor del listado</t>
        </r>
      </text>
    </comment>
    <comment ref="D405" authorId="2" shapeId="0" xr:uid="{07641243-3DAA-4FA1-9E67-5E0517091556}">
      <text>
        <r>
          <rPr>
            <sz val="11"/>
            <color theme="1"/>
            <rFont val="Calibri"/>
            <family val="2"/>
            <scheme val="minor"/>
          </rPr>
          <t>Seleccione el tipo de procedimiento</t>
        </r>
      </text>
    </comment>
    <comment ref="E405" authorId="2" shapeId="0" xr:uid="{D78B5366-F320-47C7-A6A9-4EC57732F460}">
      <text>
        <r>
          <rPr>
            <sz val="11"/>
            <color theme="1"/>
            <rFont val="Calibri"/>
            <family val="2"/>
            <scheme val="minor"/>
          </rPr>
          <t>Seleccione un valor de la lista</t>
        </r>
      </text>
    </comment>
    <comment ref="F405" authorId="2" shapeId="0" xr:uid="{9524AE86-629B-4B55-8A74-B129852D3AB0}">
      <text>
        <r>
          <rPr>
            <sz val="11"/>
            <color theme="1"/>
            <rFont val="Calibri"/>
            <family val="2"/>
            <scheme val="minor"/>
          </rPr>
          <t>Introduzca el código SNIP</t>
        </r>
      </text>
    </comment>
    <comment ref="C406" authorId="2" shapeId="0" xr:uid="{34F14F0C-7629-4D64-B198-B33CE6A2EDD0}">
      <text>
        <r>
          <rPr>
            <sz val="11"/>
            <color theme="1"/>
            <rFont val="Calibri"/>
            <family val="2"/>
            <scheme val="minor"/>
          </rPr>
          <t>Introduzca la fecha de inicio del proceso, en formato dd-mm-aaaa</t>
        </r>
      </text>
    </comment>
    <comment ref="F406" authorId="2" shapeId="0" xr:uid="{43530076-55B3-4D5D-BBBC-4C660FCE69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2" shapeId="0" xr:uid="{A90B2003-5504-481A-98FB-BEC8C5552CBA}">
      <text/>
    </comment>
    <comment ref="C408" authorId="2" shapeId="0" xr:uid="{E84BB921-65C0-4A8B-A832-FC98E615E1D7}">
      <text>
        <r>
          <rPr>
            <sz val="11"/>
            <color theme="1"/>
            <rFont val="Calibri"/>
            <family val="2"/>
            <scheme val="minor"/>
          </rPr>
          <t>Introduzca la fecha prevista de adjudicación, en formato dd-mm-aaaa</t>
        </r>
      </text>
    </comment>
    <comment ref="F408" authorId="2" shapeId="0" xr:uid="{750AA8C0-1B5C-4287-A203-6516C56F72EA}">
      <text/>
    </comment>
    <comment ref="F409" authorId="2" shapeId="0" xr:uid="{50C88A91-4B68-46CA-A974-0693C52C9060}">
      <text/>
    </comment>
    <comment ref="A411" authorId="2" shapeId="0" xr:uid="{63EC82DE-A1EB-434A-9608-EADF3603DBD4}">
      <text>
        <r>
          <rPr>
            <sz val="11"/>
            <color theme="1"/>
            <rFont val="Calibri"/>
            <family val="2"/>
            <scheme val="minor"/>
          </rPr>
          <t>Introduzca un codigo UNSPSC</t>
        </r>
      </text>
    </comment>
    <comment ref="B411" authorId="2" shapeId="0" xr:uid="{50FED958-2D58-44CA-B252-2FCA99F51C5F}">
      <text>
        <r>
          <rPr>
            <sz val="11"/>
            <color theme="1"/>
            <rFont val="Calibri"/>
            <family val="2"/>
            <scheme val="minor"/>
          </rPr>
          <t>Descripción calculada automáticamente a partir de código del artículo</t>
        </r>
      </text>
    </comment>
    <comment ref="C411" authorId="2" shapeId="0" xr:uid="{EA9E65EA-3BC9-4A8D-9C04-0A426A0CA83F}">
      <text>
        <r>
          <rPr>
            <sz val="11"/>
            <color theme="1"/>
            <rFont val="Calibri"/>
            <family val="2"/>
            <scheme val="minor"/>
          </rPr>
          <t>Seleccione un valor de la lista</t>
        </r>
      </text>
    </comment>
    <comment ref="D411" authorId="2" shapeId="0" xr:uid="{B66AE078-11B8-4110-8E4F-000866ACC26D}">
      <text>
        <r>
          <rPr>
            <sz val="11"/>
            <color theme="1"/>
            <rFont val="Calibri"/>
            <family val="2"/>
            <scheme val="minor"/>
          </rPr>
          <t>Introduzca un número con dos decimales como máximo. Debe ser igual o mayor a la "Cantidad Real Consumida"</t>
        </r>
      </text>
    </comment>
    <comment ref="E411" authorId="2" shapeId="0" xr:uid="{BA136263-A11B-4949-B8C8-7C006126A4C7}">
      <text>
        <r>
          <rPr>
            <sz val="11"/>
            <color theme="1"/>
            <rFont val="Calibri"/>
            <family val="2"/>
            <scheme val="minor"/>
          </rPr>
          <t>Introduzca un número con dos decimales como máximo</t>
        </r>
      </text>
    </comment>
    <comment ref="F411" authorId="2" shapeId="0" xr:uid="{9059D73C-8064-4AF0-A5DD-305BFB1BE0E8}">
      <text>
        <r>
          <rPr>
            <sz val="11"/>
            <color theme="1"/>
            <rFont val="Calibri"/>
            <family val="2"/>
            <scheme val="minor"/>
          </rPr>
          <t>Monto calculado automáticamente por el sistema</t>
        </r>
      </text>
    </comment>
    <comment ref="A416" authorId="2" shapeId="0" xr:uid="{A494717A-4C48-4CAB-BCD6-35427D05E36F}">
      <text>
        <r>
          <rPr>
            <sz val="11"/>
            <color theme="1"/>
            <rFont val="Calibri"/>
            <family val="2"/>
            <scheme val="minor"/>
          </rPr>
          <t>Introducir un texto con el nombre o referencia de la contratación</t>
        </r>
      </text>
    </comment>
    <comment ref="B416" authorId="2" shapeId="0" xr:uid="{3C2A9029-6588-4B24-A84E-8985F47D1E02}">
      <text>
        <r>
          <rPr>
            <sz val="11"/>
            <color theme="1"/>
            <rFont val="Calibri"/>
            <family val="2"/>
            <scheme val="minor"/>
          </rPr>
          <t>Introduzca un texto con la finalidad de la contratación</t>
        </r>
      </text>
    </comment>
    <comment ref="C416" authorId="2" shapeId="0" xr:uid="{5C007A20-ED79-4015-9925-2AC30DAE8AC2}">
      <text>
        <r>
          <rPr>
            <sz val="11"/>
            <color theme="1"/>
            <rFont val="Calibri"/>
            <family val="2"/>
            <scheme val="minor"/>
          </rPr>
          <t>Seleccionar un valor del listado</t>
        </r>
      </text>
    </comment>
    <comment ref="D416" authorId="2" shapeId="0" xr:uid="{1B84BD9C-23AA-43A7-B2B4-CD123F0B33BE}">
      <text>
        <r>
          <rPr>
            <sz val="11"/>
            <color theme="1"/>
            <rFont val="Calibri"/>
            <family val="2"/>
            <scheme val="minor"/>
          </rPr>
          <t>Seleccione el tipo de procedimiento</t>
        </r>
      </text>
    </comment>
    <comment ref="E416" authorId="2" shapeId="0" xr:uid="{A305F380-3EB9-4566-9ABC-DAB9A7C8189A}">
      <text>
        <r>
          <rPr>
            <sz val="11"/>
            <color theme="1"/>
            <rFont val="Calibri"/>
            <family val="2"/>
            <scheme val="minor"/>
          </rPr>
          <t>Seleccione un valor de la lista</t>
        </r>
      </text>
    </comment>
    <comment ref="F416" authorId="2" shapeId="0" xr:uid="{447649FF-7A65-4FD4-B41C-9E22EFE5C1E5}">
      <text>
        <r>
          <rPr>
            <sz val="11"/>
            <color theme="1"/>
            <rFont val="Calibri"/>
            <family val="2"/>
            <scheme val="minor"/>
          </rPr>
          <t>Introduzca el código SNIP</t>
        </r>
      </text>
    </comment>
    <comment ref="C417" authorId="2" shapeId="0" xr:uid="{1B0BAF21-21B9-408B-A9B7-A1CEEEFBCF0F}">
      <text>
        <r>
          <rPr>
            <sz val="11"/>
            <color theme="1"/>
            <rFont val="Calibri"/>
            <family val="2"/>
            <scheme val="minor"/>
          </rPr>
          <t>Introduzca la fecha de inicio del proceso, en formato dd-mm-aaaa</t>
        </r>
      </text>
    </comment>
    <comment ref="F417" authorId="2" shapeId="0" xr:uid="{C085C913-473A-480D-9CCA-998F2B601E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xr:uid="{E9582972-5713-4C06-AFB4-973B0F6FBACF}">
      <text/>
    </comment>
    <comment ref="C419" authorId="2" shapeId="0" xr:uid="{6DC5E052-41B4-4022-90AD-53E9F96FF251}">
      <text>
        <r>
          <rPr>
            <sz val="11"/>
            <color theme="1"/>
            <rFont val="Calibri"/>
            <family val="2"/>
            <scheme val="minor"/>
          </rPr>
          <t>Introduzca la fecha prevista de adjudicación, en formato dd-mm-aaaa</t>
        </r>
      </text>
    </comment>
    <comment ref="F419" authorId="2" shapeId="0" xr:uid="{9CE8FE5A-2FAE-48FC-89F3-047A1C9574FF}">
      <text/>
    </comment>
    <comment ref="F420" authorId="2" shapeId="0" xr:uid="{4BACC6AF-E453-4612-BCDC-04DD8419DA4A}">
      <text/>
    </comment>
    <comment ref="A422" authorId="2" shapeId="0" xr:uid="{326BB416-EAB3-4AB6-A988-4F26D5F78335}">
      <text>
        <r>
          <rPr>
            <sz val="11"/>
            <color theme="1"/>
            <rFont val="Calibri"/>
            <family val="2"/>
            <scheme val="minor"/>
          </rPr>
          <t>Introduzca un codigo UNSPSC</t>
        </r>
      </text>
    </comment>
    <comment ref="B422" authorId="2" shapeId="0" xr:uid="{E353F8C8-1D63-4303-A35A-1DE47F368DCA}">
      <text>
        <r>
          <rPr>
            <sz val="11"/>
            <color theme="1"/>
            <rFont val="Calibri"/>
            <family val="2"/>
            <scheme val="minor"/>
          </rPr>
          <t>Descripción calculada automáticamente a partir de código del artículo</t>
        </r>
      </text>
    </comment>
    <comment ref="C422" authorId="2" shapeId="0" xr:uid="{33F59E2D-F905-4002-A0AD-0027051C6B04}">
      <text>
        <r>
          <rPr>
            <sz val="11"/>
            <color theme="1"/>
            <rFont val="Calibri"/>
            <family val="2"/>
            <scheme val="minor"/>
          </rPr>
          <t>Seleccione un valor de la lista</t>
        </r>
      </text>
    </comment>
    <comment ref="D422" authorId="2" shapeId="0" xr:uid="{84B6456A-D0F4-426A-858A-561F412F26C7}">
      <text>
        <r>
          <rPr>
            <sz val="11"/>
            <color theme="1"/>
            <rFont val="Calibri"/>
            <family val="2"/>
            <scheme val="minor"/>
          </rPr>
          <t>Introduzca un número con dos decimales como máximo. Debe ser igual o mayor a la "Cantidad Real Consumida"</t>
        </r>
      </text>
    </comment>
    <comment ref="E422" authorId="2" shapeId="0" xr:uid="{6EC44082-99FA-4B40-9946-C39A79D78D64}">
      <text>
        <r>
          <rPr>
            <sz val="11"/>
            <color theme="1"/>
            <rFont val="Calibri"/>
            <family val="2"/>
            <scheme val="minor"/>
          </rPr>
          <t>Introduzca un número con dos decimales como máximo</t>
        </r>
      </text>
    </comment>
    <comment ref="F422" authorId="2" shapeId="0" xr:uid="{B8A5EC8C-7C94-4C46-98C4-9EE50BD710D8}">
      <text>
        <r>
          <rPr>
            <sz val="11"/>
            <color theme="1"/>
            <rFont val="Calibri"/>
            <family val="2"/>
            <scheme val="minor"/>
          </rPr>
          <t>Monto calculado automáticamente por el sistema</t>
        </r>
      </text>
    </comment>
    <comment ref="A427" authorId="2" shapeId="0" xr:uid="{76AD1DE0-E6D0-4095-A2AD-419E14393767}">
      <text>
        <r>
          <rPr>
            <sz val="11"/>
            <color theme="1"/>
            <rFont val="Calibri"/>
            <family val="2"/>
            <scheme val="minor"/>
          </rPr>
          <t>Introducir un texto con el nombre o referencia de la contratación</t>
        </r>
      </text>
    </comment>
    <comment ref="B427" authorId="2" shapeId="0" xr:uid="{FDD46F8C-5279-451F-B7F8-332495BF61C8}">
      <text>
        <r>
          <rPr>
            <sz val="11"/>
            <color theme="1"/>
            <rFont val="Calibri"/>
            <family val="2"/>
            <scheme val="minor"/>
          </rPr>
          <t>Introduzca un texto con la finalidad de la contratación</t>
        </r>
      </text>
    </comment>
    <comment ref="C427" authorId="2" shapeId="0" xr:uid="{882DA26F-50C0-48D4-A20A-1F4F4A504900}">
      <text>
        <r>
          <rPr>
            <sz val="11"/>
            <color theme="1"/>
            <rFont val="Calibri"/>
            <family val="2"/>
            <scheme val="minor"/>
          </rPr>
          <t>Seleccionar un valor del listado</t>
        </r>
      </text>
    </comment>
    <comment ref="D427" authorId="2" shapeId="0" xr:uid="{612084CD-C8A4-4DEF-826D-4CAA4BBA44BF}">
      <text>
        <r>
          <rPr>
            <sz val="11"/>
            <color theme="1"/>
            <rFont val="Calibri"/>
            <family val="2"/>
            <scheme val="minor"/>
          </rPr>
          <t>Seleccione el tipo de procedimiento</t>
        </r>
      </text>
    </comment>
    <comment ref="E427" authorId="2" shapeId="0" xr:uid="{81E5C42D-F752-43D7-8D88-39F427239948}">
      <text>
        <r>
          <rPr>
            <sz val="11"/>
            <color theme="1"/>
            <rFont val="Calibri"/>
            <family val="2"/>
            <scheme val="minor"/>
          </rPr>
          <t>Seleccione un valor de la lista</t>
        </r>
      </text>
    </comment>
    <comment ref="F427" authorId="2" shapeId="0" xr:uid="{D5641D87-BBE1-4908-BECE-1D7DFFB1B935}">
      <text>
        <r>
          <rPr>
            <sz val="11"/>
            <color theme="1"/>
            <rFont val="Calibri"/>
            <family val="2"/>
            <scheme val="minor"/>
          </rPr>
          <t>Introduzca el código SNIP</t>
        </r>
      </text>
    </comment>
    <comment ref="C428" authorId="2" shapeId="0" xr:uid="{EB1E94B9-A539-4346-9B8C-952B9E00C651}">
      <text>
        <r>
          <rPr>
            <sz val="11"/>
            <color theme="1"/>
            <rFont val="Calibri"/>
            <family val="2"/>
            <scheme val="minor"/>
          </rPr>
          <t>Introduzca la fecha de inicio del proceso, en formato dd-mm-aaaa</t>
        </r>
      </text>
    </comment>
    <comment ref="F428" authorId="2" shapeId="0" xr:uid="{5FF66AA1-751C-4E3F-949F-929BFC3C81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2" shapeId="0" xr:uid="{74DC3A36-2E59-429E-93B7-4658B60D26B7}">
      <text/>
    </comment>
    <comment ref="C430" authorId="2" shapeId="0" xr:uid="{6F145893-0FE9-4AC4-9EE7-F8E1A5BC6327}">
      <text>
        <r>
          <rPr>
            <sz val="11"/>
            <color theme="1"/>
            <rFont val="Calibri"/>
            <family val="2"/>
            <scheme val="minor"/>
          </rPr>
          <t>Introduzca la fecha prevista de adjudicación, en formato dd-mm-aaaa</t>
        </r>
      </text>
    </comment>
    <comment ref="F430" authorId="2" shapeId="0" xr:uid="{AEF76C80-DDA6-4113-B388-26FAA909CA3D}">
      <text/>
    </comment>
    <comment ref="F431" authorId="2" shapeId="0" xr:uid="{88C47FB3-2AF7-4BC3-8609-22CA22ED12B7}">
      <text/>
    </comment>
    <comment ref="A433" authorId="2" shapeId="0" xr:uid="{D8F1F657-7D04-4912-A0A8-686CE9A386DF}">
      <text>
        <r>
          <rPr>
            <sz val="11"/>
            <color theme="1"/>
            <rFont val="Calibri"/>
            <family val="2"/>
            <scheme val="minor"/>
          </rPr>
          <t>Introduzca un codigo UNSPSC</t>
        </r>
      </text>
    </comment>
    <comment ref="B433" authorId="2" shapeId="0" xr:uid="{D52DADD1-90D6-4FCF-8F53-68C16B09100E}">
      <text>
        <r>
          <rPr>
            <sz val="11"/>
            <color theme="1"/>
            <rFont val="Calibri"/>
            <family val="2"/>
            <scheme val="minor"/>
          </rPr>
          <t>Descripción calculada automáticamente a partir de código del artículo</t>
        </r>
      </text>
    </comment>
    <comment ref="C433" authorId="2" shapeId="0" xr:uid="{78DB86E2-D3BC-4289-B243-B61BF17AFB48}">
      <text>
        <r>
          <rPr>
            <sz val="11"/>
            <color theme="1"/>
            <rFont val="Calibri"/>
            <family val="2"/>
            <scheme val="minor"/>
          </rPr>
          <t>Seleccione un valor de la lista</t>
        </r>
      </text>
    </comment>
    <comment ref="D433" authorId="2" shapeId="0" xr:uid="{EC33499D-B07F-46D3-9B29-29E0543AD72F}">
      <text>
        <r>
          <rPr>
            <sz val="11"/>
            <color theme="1"/>
            <rFont val="Calibri"/>
            <family val="2"/>
            <scheme val="minor"/>
          </rPr>
          <t>Introduzca un número con dos decimales como máximo. Debe ser igual o mayor a la "Cantidad Real Consumida"</t>
        </r>
      </text>
    </comment>
    <comment ref="E433" authorId="2" shapeId="0" xr:uid="{1C589626-9EF7-447C-8C91-9D3E82D19397}">
      <text>
        <r>
          <rPr>
            <sz val="11"/>
            <color theme="1"/>
            <rFont val="Calibri"/>
            <family val="2"/>
            <scheme val="minor"/>
          </rPr>
          <t>Introduzca un número con dos decimales como máximo</t>
        </r>
      </text>
    </comment>
    <comment ref="F433" authorId="2" shapeId="0" xr:uid="{3DFAA0C2-CF88-4D09-80C7-A3E084CA591D}">
      <text>
        <r>
          <rPr>
            <sz val="11"/>
            <color theme="1"/>
            <rFont val="Calibri"/>
            <family val="2"/>
            <scheme val="minor"/>
          </rPr>
          <t>Monto calculado automáticamente por el sistema</t>
        </r>
      </text>
    </comment>
    <comment ref="A438" authorId="2" shapeId="0" xr:uid="{CEDF6F50-C08C-4994-9C9C-2C980230605A}">
      <text>
        <r>
          <rPr>
            <sz val="11"/>
            <color theme="1"/>
            <rFont val="Calibri"/>
            <family val="2"/>
            <scheme val="minor"/>
          </rPr>
          <t>Introducir un texto con el nombre o referencia de la contratación</t>
        </r>
      </text>
    </comment>
    <comment ref="B438" authorId="2" shapeId="0" xr:uid="{80107BD1-E00B-4293-B318-45269C1D1E77}">
      <text>
        <r>
          <rPr>
            <sz val="11"/>
            <color theme="1"/>
            <rFont val="Calibri"/>
            <family val="2"/>
            <scheme val="minor"/>
          </rPr>
          <t>Introduzca un texto con la finalidad de la contratación</t>
        </r>
      </text>
    </comment>
    <comment ref="C438" authorId="2" shapeId="0" xr:uid="{ACC4DB98-7A6E-4971-8797-E513EB4080FB}">
      <text>
        <r>
          <rPr>
            <sz val="11"/>
            <color theme="1"/>
            <rFont val="Calibri"/>
            <family val="2"/>
            <scheme val="minor"/>
          </rPr>
          <t>Seleccionar un valor del listado</t>
        </r>
      </text>
    </comment>
    <comment ref="D438" authorId="2" shapeId="0" xr:uid="{DCE8462F-B086-443B-91B0-FA0939038CC2}">
      <text>
        <r>
          <rPr>
            <sz val="11"/>
            <color theme="1"/>
            <rFont val="Calibri"/>
            <family val="2"/>
            <scheme val="minor"/>
          </rPr>
          <t>Seleccione el tipo de procedimiento</t>
        </r>
      </text>
    </comment>
    <comment ref="E438" authorId="2" shapeId="0" xr:uid="{D72C4D27-B02D-4B14-AFDC-FD6631F898BF}">
      <text>
        <r>
          <rPr>
            <sz val="11"/>
            <color theme="1"/>
            <rFont val="Calibri"/>
            <family val="2"/>
            <scheme val="minor"/>
          </rPr>
          <t>Seleccione un valor de la lista</t>
        </r>
      </text>
    </comment>
    <comment ref="F438" authorId="2" shapeId="0" xr:uid="{4272DC3D-0F2D-4210-8C6C-8FE3296FC2D4}">
      <text>
        <r>
          <rPr>
            <sz val="11"/>
            <color theme="1"/>
            <rFont val="Calibri"/>
            <family val="2"/>
            <scheme val="minor"/>
          </rPr>
          <t>Introduzca el código SNIP</t>
        </r>
      </text>
    </comment>
    <comment ref="C439" authorId="2" shapeId="0" xr:uid="{FC8113C0-E978-4344-8F74-8BA06BE1290A}">
      <text>
        <r>
          <rPr>
            <sz val="11"/>
            <color theme="1"/>
            <rFont val="Calibri"/>
            <family val="2"/>
            <scheme val="minor"/>
          </rPr>
          <t>Introduzca la fecha de inicio del proceso, en formato dd-mm-aaaa</t>
        </r>
      </text>
    </comment>
    <comment ref="F439" authorId="2" shapeId="0" xr:uid="{4EC15B72-C5B7-446A-BF4B-43104B04BD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shapeId="0" xr:uid="{97B81F5A-62EA-415F-95EB-95D670080A8B}">
      <text/>
    </comment>
    <comment ref="C441" authorId="2" shapeId="0" xr:uid="{DCC5BFD2-C220-418F-B9EA-CE5C8870D5EF}">
      <text>
        <r>
          <rPr>
            <sz val="11"/>
            <color theme="1"/>
            <rFont val="Calibri"/>
            <family val="2"/>
            <scheme val="minor"/>
          </rPr>
          <t>Introduzca la fecha prevista de adjudicación, en formato dd-mm-aaaa</t>
        </r>
      </text>
    </comment>
    <comment ref="F441" authorId="2" shapeId="0" xr:uid="{2D2B4265-2E43-4E8F-A83C-7832C5A117A7}">
      <text/>
    </comment>
    <comment ref="F442" authorId="2" shapeId="0" xr:uid="{CA56A2C8-C809-4D8D-8CCB-A119EE777193}">
      <text/>
    </comment>
    <comment ref="A444" authorId="2" shapeId="0" xr:uid="{918FD94A-42E2-40F4-A6E8-9B4553B92185}">
      <text>
        <r>
          <rPr>
            <sz val="11"/>
            <color theme="1"/>
            <rFont val="Calibri"/>
            <family val="2"/>
            <scheme val="minor"/>
          </rPr>
          <t>Introduzca un codigo UNSPSC</t>
        </r>
      </text>
    </comment>
    <comment ref="B444" authorId="2" shapeId="0" xr:uid="{A988CAC2-4939-41E2-BA87-805E24E41C00}">
      <text>
        <r>
          <rPr>
            <sz val="11"/>
            <color theme="1"/>
            <rFont val="Calibri"/>
            <family val="2"/>
            <scheme val="minor"/>
          </rPr>
          <t>Descripción calculada automáticamente a partir de código del artículo</t>
        </r>
      </text>
    </comment>
    <comment ref="C444" authorId="2" shapeId="0" xr:uid="{0E956854-AD39-4588-BDF5-5073DED67647}">
      <text>
        <r>
          <rPr>
            <sz val="11"/>
            <color theme="1"/>
            <rFont val="Calibri"/>
            <family val="2"/>
            <scheme val="minor"/>
          </rPr>
          <t>Seleccione un valor de la lista</t>
        </r>
      </text>
    </comment>
    <comment ref="D444" authorId="2" shapeId="0" xr:uid="{9DE4152F-498E-42F1-A46F-AA2698D0F2DE}">
      <text>
        <r>
          <rPr>
            <sz val="11"/>
            <color theme="1"/>
            <rFont val="Calibri"/>
            <family val="2"/>
            <scheme val="minor"/>
          </rPr>
          <t>Introduzca un número con dos decimales como máximo. Debe ser igual o mayor a la "Cantidad Real Consumida"</t>
        </r>
      </text>
    </comment>
    <comment ref="E444" authorId="2" shapeId="0" xr:uid="{A9D523C1-B84E-4B8B-8865-AEA91070E17D}">
      <text>
        <r>
          <rPr>
            <sz val="11"/>
            <color theme="1"/>
            <rFont val="Calibri"/>
            <family val="2"/>
            <scheme val="minor"/>
          </rPr>
          <t>Introduzca un número con dos decimales como máximo</t>
        </r>
      </text>
    </comment>
    <comment ref="F444" authorId="2" shapeId="0" xr:uid="{59A97206-C6CB-4A52-BC89-F33C20108FED}">
      <text>
        <r>
          <rPr>
            <sz val="11"/>
            <color theme="1"/>
            <rFont val="Calibri"/>
            <family val="2"/>
            <scheme val="minor"/>
          </rPr>
          <t>Monto calculado automáticamente por el sistema</t>
        </r>
      </text>
    </comment>
    <comment ref="A449" authorId="2" shapeId="0" xr:uid="{6641CB64-F7D6-43DA-A3B1-556F6ADD0CDC}">
      <text>
        <r>
          <rPr>
            <sz val="11"/>
            <color theme="1"/>
            <rFont val="Calibri"/>
            <family val="2"/>
            <scheme val="minor"/>
          </rPr>
          <t>Introducir un texto con el nombre o referencia de la contratación</t>
        </r>
      </text>
    </comment>
    <comment ref="B449" authorId="2" shapeId="0" xr:uid="{2B018F34-C122-41EC-BCB5-B930B97148DA}">
      <text>
        <r>
          <rPr>
            <sz val="11"/>
            <color theme="1"/>
            <rFont val="Calibri"/>
            <family val="2"/>
            <scheme val="minor"/>
          </rPr>
          <t>Introduzca un texto con la finalidad de la contratación</t>
        </r>
      </text>
    </comment>
    <comment ref="C449" authorId="2" shapeId="0" xr:uid="{37B66AAF-41D1-4D5C-8A68-BFD3BF331133}">
      <text>
        <r>
          <rPr>
            <sz val="11"/>
            <color theme="1"/>
            <rFont val="Calibri"/>
            <family val="2"/>
            <scheme val="minor"/>
          </rPr>
          <t>Seleccionar un valor del listado</t>
        </r>
      </text>
    </comment>
    <comment ref="D449" authorId="2" shapeId="0" xr:uid="{8F8F5AEB-0308-4F11-A8BB-39B407AF2005}">
      <text>
        <r>
          <rPr>
            <sz val="11"/>
            <color theme="1"/>
            <rFont val="Calibri"/>
            <family val="2"/>
            <scheme val="minor"/>
          </rPr>
          <t>Seleccione el tipo de procedimiento</t>
        </r>
      </text>
    </comment>
    <comment ref="E449" authorId="2" shapeId="0" xr:uid="{49409264-CDF6-4627-B867-D88B54B802B0}">
      <text>
        <r>
          <rPr>
            <sz val="11"/>
            <color theme="1"/>
            <rFont val="Calibri"/>
            <family val="2"/>
            <scheme val="minor"/>
          </rPr>
          <t>Seleccione un valor de la lista</t>
        </r>
      </text>
    </comment>
    <comment ref="F449" authorId="2" shapeId="0" xr:uid="{AACF406B-2B99-422C-9A2A-F3C4766FBF36}">
      <text>
        <r>
          <rPr>
            <sz val="11"/>
            <color theme="1"/>
            <rFont val="Calibri"/>
            <family val="2"/>
            <scheme val="minor"/>
          </rPr>
          <t>Introduzca el código SNIP</t>
        </r>
      </text>
    </comment>
    <comment ref="C450" authorId="2" shapeId="0" xr:uid="{A981FD4D-07BF-413F-B6F8-83D45BDCF474}">
      <text>
        <r>
          <rPr>
            <sz val="11"/>
            <color theme="1"/>
            <rFont val="Calibri"/>
            <family val="2"/>
            <scheme val="minor"/>
          </rPr>
          <t>Introduzca la fecha de inicio del proceso, en formato dd-mm-aaaa</t>
        </r>
      </text>
    </comment>
    <comment ref="F450" authorId="2" shapeId="0" xr:uid="{E65D404B-AA32-4884-808C-A7A46B39FE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shapeId="0" xr:uid="{E1CA4D09-95EA-4DCD-9BEE-2415074D8869}">
      <text/>
    </comment>
    <comment ref="C452" authorId="2" shapeId="0" xr:uid="{7257E1B7-4BFB-4387-B9E5-15FE7483893B}">
      <text>
        <r>
          <rPr>
            <sz val="11"/>
            <color theme="1"/>
            <rFont val="Calibri"/>
            <family val="2"/>
            <scheme val="minor"/>
          </rPr>
          <t>Introduzca la fecha prevista de adjudicación, en formato dd-mm-aaaa</t>
        </r>
      </text>
    </comment>
    <comment ref="F452" authorId="2" shapeId="0" xr:uid="{A1B3E2F0-483E-4370-BBD1-7B5B04E8B41C}">
      <text/>
    </comment>
    <comment ref="F453" authorId="2" shapeId="0" xr:uid="{8762C4AF-70F7-4E52-A227-D32FBFAD8307}">
      <text/>
    </comment>
    <comment ref="A455" authorId="2" shapeId="0" xr:uid="{47E4E0A9-61E5-4631-9F4D-43EB1F1E4B05}">
      <text>
        <r>
          <rPr>
            <sz val="11"/>
            <color theme="1"/>
            <rFont val="Calibri"/>
            <family val="2"/>
            <scheme val="minor"/>
          </rPr>
          <t>Introduzca un codigo UNSPSC</t>
        </r>
      </text>
    </comment>
    <comment ref="B455" authorId="2" shapeId="0" xr:uid="{41E0F86B-CCF5-4643-ADB3-0337495BB7F1}">
      <text>
        <r>
          <rPr>
            <sz val="11"/>
            <color theme="1"/>
            <rFont val="Calibri"/>
            <family val="2"/>
            <scheme val="minor"/>
          </rPr>
          <t>Descripción calculada automáticamente a partir de código del artículo</t>
        </r>
      </text>
    </comment>
    <comment ref="C455" authorId="2" shapeId="0" xr:uid="{1D3D0265-5CCC-421D-86A0-467B6F146951}">
      <text>
        <r>
          <rPr>
            <sz val="11"/>
            <color theme="1"/>
            <rFont val="Calibri"/>
            <family val="2"/>
            <scheme val="minor"/>
          </rPr>
          <t>Seleccione un valor de la lista</t>
        </r>
      </text>
    </comment>
    <comment ref="D455" authorId="2" shapeId="0" xr:uid="{419B5150-3732-4C13-AC1F-72570A959E6E}">
      <text>
        <r>
          <rPr>
            <sz val="11"/>
            <color theme="1"/>
            <rFont val="Calibri"/>
            <family val="2"/>
            <scheme val="minor"/>
          </rPr>
          <t>Introduzca un número con dos decimales como máximo. Debe ser igual o mayor a la "Cantidad Real Consumida"</t>
        </r>
      </text>
    </comment>
    <comment ref="E455" authorId="2" shapeId="0" xr:uid="{7D56A947-91CB-4896-AD28-F708E405139C}">
      <text>
        <r>
          <rPr>
            <sz val="11"/>
            <color theme="1"/>
            <rFont val="Calibri"/>
            <family val="2"/>
            <scheme val="minor"/>
          </rPr>
          <t>Introduzca un número con dos decimales como máximo</t>
        </r>
      </text>
    </comment>
    <comment ref="F455" authorId="2" shapeId="0" xr:uid="{74D970C0-0854-4B18-8D5E-E281907BEDA6}">
      <text>
        <r>
          <rPr>
            <sz val="11"/>
            <color theme="1"/>
            <rFont val="Calibri"/>
            <family val="2"/>
            <scheme val="minor"/>
          </rPr>
          <t>Monto calculado automáticamente por el sistema</t>
        </r>
      </text>
    </comment>
    <comment ref="A460" authorId="2" shapeId="0" xr:uid="{507311A6-A8FB-494D-8896-F1450193D0FC}">
      <text>
        <r>
          <rPr>
            <sz val="11"/>
            <color theme="1"/>
            <rFont val="Calibri"/>
            <family val="2"/>
            <scheme val="minor"/>
          </rPr>
          <t>Introducir un texto con el nombre o referencia de la contratación</t>
        </r>
      </text>
    </comment>
    <comment ref="B460" authorId="2" shapeId="0" xr:uid="{B73ACD0A-F636-4235-85FA-437D37D4266F}">
      <text>
        <r>
          <rPr>
            <sz val="11"/>
            <color theme="1"/>
            <rFont val="Calibri"/>
            <family val="2"/>
            <scheme val="minor"/>
          </rPr>
          <t>Introduzca un texto con la finalidad de la contratación</t>
        </r>
      </text>
    </comment>
    <comment ref="C460" authorId="2" shapeId="0" xr:uid="{358D258F-F70D-4A4E-9B96-EA2692F54A7B}">
      <text>
        <r>
          <rPr>
            <sz val="11"/>
            <color theme="1"/>
            <rFont val="Calibri"/>
            <family val="2"/>
            <scheme val="minor"/>
          </rPr>
          <t>Seleccionar un valor del listado</t>
        </r>
      </text>
    </comment>
    <comment ref="D460" authorId="2" shapeId="0" xr:uid="{D30BC46E-6A9E-4D03-84A8-72555D239CFF}">
      <text>
        <r>
          <rPr>
            <sz val="11"/>
            <color theme="1"/>
            <rFont val="Calibri"/>
            <family val="2"/>
            <scheme val="minor"/>
          </rPr>
          <t>Seleccione el tipo de procedimiento</t>
        </r>
      </text>
    </comment>
    <comment ref="E460" authorId="2" shapeId="0" xr:uid="{AEBF6D63-4826-4FDD-8B6F-50375180C286}">
      <text>
        <r>
          <rPr>
            <sz val="11"/>
            <color theme="1"/>
            <rFont val="Calibri"/>
            <family val="2"/>
            <scheme val="minor"/>
          </rPr>
          <t>Seleccione un valor de la lista</t>
        </r>
      </text>
    </comment>
    <comment ref="F460" authorId="2" shapeId="0" xr:uid="{BCF75889-58BB-4136-B2B3-508015354A3F}">
      <text>
        <r>
          <rPr>
            <sz val="11"/>
            <color theme="1"/>
            <rFont val="Calibri"/>
            <family val="2"/>
            <scheme val="minor"/>
          </rPr>
          <t>Introduzca el código SNIP</t>
        </r>
      </text>
    </comment>
    <comment ref="C461" authorId="2" shapeId="0" xr:uid="{C4759229-3F17-4EFA-8CF6-6BF006FFE650}">
      <text>
        <r>
          <rPr>
            <sz val="11"/>
            <color theme="1"/>
            <rFont val="Calibri"/>
            <family val="2"/>
            <scheme val="minor"/>
          </rPr>
          <t>Introduzca la fecha de inicio del proceso, en formato dd-mm-aaaa</t>
        </r>
      </text>
    </comment>
    <comment ref="F461" authorId="2" shapeId="0" xr:uid="{2A5FCC4C-45EB-4D31-AF3B-93DA288795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shapeId="0" xr:uid="{4DDB6999-AD14-48BF-ABE2-8CE22E9A5AAD}">
      <text/>
    </comment>
    <comment ref="C463" authorId="2" shapeId="0" xr:uid="{C3425F00-CDA5-4E0E-BC96-F058E9EC8787}">
      <text>
        <r>
          <rPr>
            <sz val="11"/>
            <color theme="1"/>
            <rFont val="Calibri"/>
            <family val="2"/>
            <scheme val="minor"/>
          </rPr>
          <t>Introduzca la fecha prevista de adjudicación, en formato dd-mm-aaaa</t>
        </r>
      </text>
    </comment>
    <comment ref="F463" authorId="2" shapeId="0" xr:uid="{50E41E10-9EB9-4D09-95BD-8559D2AB0A5E}">
      <text/>
    </comment>
    <comment ref="F464" authorId="2" shapeId="0" xr:uid="{9702AE81-E723-4527-911C-10C9E0657C42}">
      <text/>
    </comment>
    <comment ref="A466" authorId="2" shapeId="0" xr:uid="{E3C800E2-6698-4476-BF1E-AF61739A6944}">
      <text>
        <r>
          <rPr>
            <sz val="11"/>
            <color theme="1"/>
            <rFont val="Calibri"/>
            <family val="2"/>
            <scheme val="minor"/>
          </rPr>
          <t>Introduzca un codigo UNSPSC</t>
        </r>
      </text>
    </comment>
    <comment ref="B466" authorId="2" shapeId="0" xr:uid="{62346FF9-6E2D-4026-9E72-FEF541220BFF}">
      <text>
        <r>
          <rPr>
            <sz val="11"/>
            <color theme="1"/>
            <rFont val="Calibri"/>
            <family val="2"/>
            <scheme val="minor"/>
          </rPr>
          <t>Descripción calculada automáticamente a partir de código del artículo</t>
        </r>
      </text>
    </comment>
    <comment ref="C466" authorId="2" shapeId="0" xr:uid="{99D6A884-93FD-45AC-BA2E-E5D3B95C120C}">
      <text>
        <r>
          <rPr>
            <sz val="11"/>
            <color theme="1"/>
            <rFont val="Calibri"/>
            <family val="2"/>
            <scheme val="minor"/>
          </rPr>
          <t>Seleccione un valor de la lista</t>
        </r>
      </text>
    </comment>
    <comment ref="D466" authorId="2" shapeId="0" xr:uid="{0447F660-E20B-41D5-BE1F-B77A2017F874}">
      <text>
        <r>
          <rPr>
            <sz val="11"/>
            <color theme="1"/>
            <rFont val="Calibri"/>
            <family val="2"/>
            <scheme val="minor"/>
          </rPr>
          <t>Introduzca un número con dos decimales como máximo. Debe ser igual o mayor a la "Cantidad Real Consumida"</t>
        </r>
      </text>
    </comment>
    <comment ref="E466" authorId="2" shapeId="0" xr:uid="{44C93A46-CF88-4D24-B84C-5104EC060B34}">
      <text>
        <r>
          <rPr>
            <sz val="11"/>
            <color theme="1"/>
            <rFont val="Calibri"/>
            <family val="2"/>
            <scheme val="minor"/>
          </rPr>
          <t>Introduzca un número con dos decimales como máximo</t>
        </r>
      </text>
    </comment>
    <comment ref="F466" authorId="2" shapeId="0" xr:uid="{FEE91B66-A154-44EA-91EB-362D9D1B1710}">
      <text>
        <r>
          <rPr>
            <sz val="11"/>
            <color theme="1"/>
            <rFont val="Calibri"/>
            <family val="2"/>
            <scheme val="minor"/>
          </rPr>
          <t>Monto calculado automáticamente por el sistema</t>
        </r>
      </text>
    </comment>
    <comment ref="A471" authorId="2" shapeId="0" xr:uid="{21C4A9AB-152D-444B-A480-E4579B5F4E77}">
      <text>
        <r>
          <rPr>
            <sz val="11"/>
            <color theme="1"/>
            <rFont val="Calibri"/>
            <family val="2"/>
            <scheme val="minor"/>
          </rPr>
          <t>Introducir un texto con el nombre o referencia de la contratación</t>
        </r>
      </text>
    </comment>
    <comment ref="B471" authorId="2" shapeId="0" xr:uid="{7C0110CB-575E-421F-AE10-B1734EAE2619}">
      <text>
        <r>
          <rPr>
            <sz val="11"/>
            <color theme="1"/>
            <rFont val="Calibri"/>
            <family val="2"/>
            <scheme val="minor"/>
          </rPr>
          <t>Introduzca un texto con la finalidad de la contratación</t>
        </r>
      </text>
    </comment>
    <comment ref="C471" authorId="2" shapeId="0" xr:uid="{3D742A2D-BA47-4DEF-9CD4-51649ADD31F1}">
      <text>
        <r>
          <rPr>
            <sz val="11"/>
            <color theme="1"/>
            <rFont val="Calibri"/>
            <family val="2"/>
            <scheme val="minor"/>
          </rPr>
          <t>Seleccionar un valor del listado</t>
        </r>
      </text>
    </comment>
    <comment ref="D471" authorId="2" shapeId="0" xr:uid="{8FA56A86-E576-415A-9300-450CB19A0396}">
      <text>
        <r>
          <rPr>
            <sz val="11"/>
            <color theme="1"/>
            <rFont val="Calibri"/>
            <family val="2"/>
            <scheme val="minor"/>
          </rPr>
          <t>Seleccione el tipo de procedimiento</t>
        </r>
      </text>
    </comment>
    <comment ref="E471" authorId="2" shapeId="0" xr:uid="{F9980A11-FBC7-4291-B2B4-D4AF59917DCA}">
      <text>
        <r>
          <rPr>
            <sz val="11"/>
            <color theme="1"/>
            <rFont val="Calibri"/>
            <family val="2"/>
            <scheme val="minor"/>
          </rPr>
          <t>Seleccione un valor de la lista</t>
        </r>
      </text>
    </comment>
    <comment ref="F471" authorId="2" shapeId="0" xr:uid="{EA282FAE-5511-4B67-B76C-46DC88570825}">
      <text>
        <r>
          <rPr>
            <sz val="11"/>
            <color theme="1"/>
            <rFont val="Calibri"/>
            <family val="2"/>
            <scheme val="minor"/>
          </rPr>
          <t>Introduzca el código SNIP</t>
        </r>
      </text>
    </comment>
    <comment ref="C472" authorId="2" shapeId="0" xr:uid="{96EC7222-0931-4DB9-8C41-108EDF5AE437}">
      <text>
        <r>
          <rPr>
            <sz val="11"/>
            <color theme="1"/>
            <rFont val="Calibri"/>
            <family val="2"/>
            <scheme val="minor"/>
          </rPr>
          <t>Introduzca la fecha de inicio del proceso, en formato dd-mm-aaaa</t>
        </r>
      </text>
    </comment>
    <comment ref="F472" authorId="2" shapeId="0" xr:uid="{9423D552-AB2E-46B7-A264-8D33645489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2" shapeId="0" xr:uid="{E71CD5AF-5DED-49AF-9F75-833BE93F2A38}">
      <text/>
    </comment>
    <comment ref="C474" authorId="2" shapeId="0" xr:uid="{D2DCB5B6-E93F-4D96-AD9B-92B74F2889F4}">
      <text>
        <r>
          <rPr>
            <sz val="11"/>
            <color theme="1"/>
            <rFont val="Calibri"/>
            <family val="2"/>
            <scheme val="minor"/>
          </rPr>
          <t>Introduzca la fecha prevista de adjudicación, en formato dd-mm-aaaa</t>
        </r>
      </text>
    </comment>
    <comment ref="F474" authorId="2" shapeId="0" xr:uid="{12DE5CA0-0B71-4553-BD47-DEBA584028B0}">
      <text/>
    </comment>
    <comment ref="F475" authorId="2" shapeId="0" xr:uid="{C3973477-A503-4C9D-9B94-6E03BB18C2FA}">
      <text/>
    </comment>
    <comment ref="A477" authorId="2" shapeId="0" xr:uid="{088FDA0A-663B-4D55-BB51-CC7FE8232A24}">
      <text>
        <r>
          <rPr>
            <sz val="11"/>
            <color theme="1"/>
            <rFont val="Calibri"/>
            <family val="2"/>
            <scheme val="minor"/>
          </rPr>
          <t>Introduzca un codigo UNSPSC</t>
        </r>
      </text>
    </comment>
    <comment ref="B477" authorId="2" shapeId="0" xr:uid="{FB679479-6EC3-41B7-B131-7093377675E9}">
      <text>
        <r>
          <rPr>
            <sz val="11"/>
            <color theme="1"/>
            <rFont val="Calibri"/>
            <family val="2"/>
            <scheme val="minor"/>
          </rPr>
          <t>Descripción calculada automáticamente a partir de código del artículo</t>
        </r>
      </text>
    </comment>
    <comment ref="C477" authorId="2" shapeId="0" xr:uid="{76BFA34D-63D8-4E07-B787-6B44AC653811}">
      <text>
        <r>
          <rPr>
            <sz val="11"/>
            <color theme="1"/>
            <rFont val="Calibri"/>
            <family val="2"/>
            <scheme val="minor"/>
          </rPr>
          <t>Seleccione un valor de la lista</t>
        </r>
      </text>
    </comment>
    <comment ref="D477" authorId="2" shapeId="0" xr:uid="{A5D9F552-2089-49E4-A7F8-97AC8B9EB2F7}">
      <text>
        <r>
          <rPr>
            <sz val="11"/>
            <color theme="1"/>
            <rFont val="Calibri"/>
            <family val="2"/>
            <scheme val="minor"/>
          </rPr>
          <t>Introduzca un número con dos decimales como máximo. Debe ser igual o mayor a la "Cantidad Real Consumida"</t>
        </r>
      </text>
    </comment>
    <comment ref="E477" authorId="2" shapeId="0" xr:uid="{3759BCA8-DE2B-4EDB-8BB2-5A05EC3D0FCF}">
      <text>
        <r>
          <rPr>
            <sz val="11"/>
            <color theme="1"/>
            <rFont val="Calibri"/>
            <family val="2"/>
            <scheme val="minor"/>
          </rPr>
          <t>Introduzca un número con dos decimales como máximo</t>
        </r>
      </text>
    </comment>
    <comment ref="F477" authorId="2" shapeId="0" xr:uid="{965A7BC1-73AD-4FCA-9529-DAC46C447D61}">
      <text>
        <r>
          <rPr>
            <sz val="11"/>
            <color theme="1"/>
            <rFont val="Calibri"/>
            <family val="2"/>
            <scheme val="minor"/>
          </rPr>
          <t>Monto calculado automáticamente por el sistema</t>
        </r>
      </text>
    </comment>
    <comment ref="A482" authorId="2" shapeId="0" xr:uid="{D399946B-6ED9-4D67-89FF-9322B9457BA6}">
      <text>
        <r>
          <rPr>
            <sz val="11"/>
            <color theme="1"/>
            <rFont val="Calibri"/>
            <family val="2"/>
            <scheme val="minor"/>
          </rPr>
          <t>Introducir un texto con el nombre o referencia de la contratación</t>
        </r>
      </text>
    </comment>
    <comment ref="B482" authorId="2" shapeId="0" xr:uid="{611C0059-1A87-41ED-B997-083359B5E2A4}">
      <text>
        <r>
          <rPr>
            <sz val="11"/>
            <color theme="1"/>
            <rFont val="Calibri"/>
            <family val="2"/>
            <scheme val="minor"/>
          </rPr>
          <t>Introduzca un texto con la finalidad de la contratación</t>
        </r>
      </text>
    </comment>
    <comment ref="C482" authorId="2" shapeId="0" xr:uid="{9AD0FEB6-3C16-49DC-95FF-25AF93997CEB}">
      <text>
        <r>
          <rPr>
            <sz val="11"/>
            <color theme="1"/>
            <rFont val="Calibri"/>
            <family val="2"/>
            <scheme val="minor"/>
          </rPr>
          <t>Seleccionar un valor del listado</t>
        </r>
      </text>
    </comment>
    <comment ref="D482" authorId="2" shapeId="0" xr:uid="{FF49807B-CA4D-4A54-8F69-40A783AD47BD}">
      <text>
        <r>
          <rPr>
            <sz val="11"/>
            <color theme="1"/>
            <rFont val="Calibri"/>
            <family val="2"/>
            <scheme val="minor"/>
          </rPr>
          <t>Seleccione el tipo de procedimiento</t>
        </r>
      </text>
    </comment>
    <comment ref="E482" authorId="2" shapeId="0" xr:uid="{4DB1F2F9-2DC2-4BC2-BD62-F2BE7E110610}">
      <text>
        <r>
          <rPr>
            <sz val="11"/>
            <color theme="1"/>
            <rFont val="Calibri"/>
            <family val="2"/>
            <scheme val="minor"/>
          </rPr>
          <t>Seleccione un valor de la lista</t>
        </r>
      </text>
    </comment>
    <comment ref="F482" authorId="2" shapeId="0" xr:uid="{595551D8-55E2-46A0-880E-DEFC9E2545EA}">
      <text>
        <r>
          <rPr>
            <sz val="11"/>
            <color theme="1"/>
            <rFont val="Calibri"/>
            <family val="2"/>
            <scheme val="minor"/>
          </rPr>
          <t>Introduzca el código SNIP</t>
        </r>
      </text>
    </comment>
    <comment ref="C483" authorId="2" shapeId="0" xr:uid="{799BDC4F-535D-465B-8FD8-5606C0CD6DC0}">
      <text>
        <r>
          <rPr>
            <sz val="11"/>
            <color theme="1"/>
            <rFont val="Calibri"/>
            <family val="2"/>
            <scheme val="minor"/>
          </rPr>
          <t>Introduzca la fecha de inicio del proceso, en formato dd-mm-aaaa</t>
        </r>
      </text>
    </comment>
    <comment ref="F483" authorId="2" shapeId="0" xr:uid="{DCBA6229-7520-4816-BF6C-CCE580E69C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2" shapeId="0" xr:uid="{E21E0299-6E21-4B99-8B25-BC643D5F1B03}">
      <text/>
    </comment>
    <comment ref="C485" authorId="2" shapeId="0" xr:uid="{DA22D7B9-B6E0-4169-8884-98E09FF06DCD}">
      <text>
        <r>
          <rPr>
            <sz val="11"/>
            <color theme="1"/>
            <rFont val="Calibri"/>
            <family val="2"/>
            <scheme val="minor"/>
          </rPr>
          <t>Introduzca la fecha prevista de adjudicación, en formato dd-mm-aaaa</t>
        </r>
      </text>
    </comment>
    <comment ref="F485" authorId="2" shapeId="0" xr:uid="{3980E7B5-A933-4883-93C7-C13797A32D4E}">
      <text/>
    </comment>
    <comment ref="F486" authorId="2" shapeId="0" xr:uid="{2561BB89-651A-4093-AE20-56BD12B96DF4}">
      <text/>
    </comment>
    <comment ref="A488" authorId="2" shapeId="0" xr:uid="{C000CF24-E9FB-4671-9543-957182DD85ED}">
      <text>
        <r>
          <rPr>
            <sz val="11"/>
            <color theme="1"/>
            <rFont val="Calibri"/>
            <family val="2"/>
            <scheme val="minor"/>
          </rPr>
          <t>Introduzca un codigo UNSPSC</t>
        </r>
      </text>
    </comment>
    <comment ref="B488" authorId="2" shapeId="0" xr:uid="{48C903DD-7E04-4B1D-A142-9A740B3F817E}">
      <text>
        <r>
          <rPr>
            <sz val="11"/>
            <color theme="1"/>
            <rFont val="Calibri"/>
            <family val="2"/>
            <scheme val="minor"/>
          </rPr>
          <t>Descripción calculada automáticamente a partir de código del artículo</t>
        </r>
      </text>
    </comment>
    <comment ref="C488" authorId="2" shapeId="0" xr:uid="{80C2EEE8-3710-4831-893C-A2AF24589EAB}">
      <text>
        <r>
          <rPr>
            <sz val="11"/>
            <color theme="1"/>
            <rFont val="Calibri"/>
            <family val="2"/>
            <scheme val="minor"/>
          </rPr>
          <t>Seleccione un valor de la lista</t>
        </r>
      </text>
    </comment>
    <comment ref="D488" authorId="2" shapeId="0" xr:uid="{8F4E419D-B592-4729-B9D9-CB72FA652442}">
      <text>
        <r>
          <rPr>
            <sz val="11"/>
            <color theme="1"/>
            <rFont val="Calibri"/>
            <family val="2"/>
            <scheme val="minor"/>
          </rPr>
          <t>Introduzca un número con dos decimales como máximo. Debe ser igual o mayor a la "Cantidad Real Consumida"</t>
        </r>
      </text>
    </comment>
    <comment ref="E488" authorId="2" shapeId="0" xr:uid="{4C69E045-1ECD-411D-A4B1-81A0F6BBABD7}">
      <text>
        <r>
          <rPr>
            <sz val="11"/>
            <color theme="1"/>
            <rFont val="Calibri"/>
            <family val="2"/>
            <scheme val="minor"/>
          </rPr>
          <t>Introduzca un número con dos decimales como máximo</t>
        </r>
      </text>
    </comment>
    <comment ref="F488" authorId="2" shapeId="0" xr:uid="{33DDB88F-61CB-4AB4-98B2-E54EA13AB779}">
      <text>
        <r>
          <rPr>
            <sz val="11"/>
            <color theme="1"/>
            <rFont val="Calibri"/>
            <family val="2"/>
            <scheme val="minor"/>
          </rPr>
          <t>Monto calculado automáticamente por el sistema</t>
        </r>
      </text>
    </comment>
    <comment ref="A493" authorId="2" shapeId="0" xr:uid="{E2E28284-98EC-44B9-9ECB-B8872A94C95E}">
      <text>
        <r>
          <rPr>
            <sz val="11"/>
            <color theme="1"/>
            <rFont val="Calibri"/>
            <family val="2"/>
            <scheme val="minor"/>
          </rPr>
          <t>Introducir un texto con el nombre o referencia de la contratación</t>
        </r>
      </text>
    </comment>
    <comment ref="B493" authorId="2" shapeId="0" xr:uid="{D12468DA-661F-4FD9-A2C8-1B94DE92C8E7}">
      <text>
        <r>
          <rPr>
            <sz val="11"/>
            <color theme="1"/>
            <rFont val="Calibri"/>
            <family val="2"/>
            <scheme val="minor"/>
          </rPr>
          <t>Introduzca un texto con la finalidad de la contratación</t>
        </r>
      </text>
    </comment>
    <comment ref="C493" authorId="2" shapeId="0" xr:uid="{CFE344CA-8D73-4A2C-9BEB-0E29963031BA}">
      <text>
        <r>
          <rPr>
            <sz val="11"/>
            <color theme="1"/>
            <rFont val="Calibri"/>
            <family val="2"/>
            <scheme val="minor"/>
          </rPr>
          <t>Seleccionar un valor del listado</t>
        </r>
      </text>
    </comment>
    <comment ref="D493" authorId="2" shapeId="0" xr:uid="{1BCEE5CA-3B64-4858-81DF-D2EE41815FC4}">
      <text>
        <r>
          <rPr>
            <sz val="11"/>
            <color theme="1"/>
            <rFont val="Calibri"/>
            <family val="2"/>
            <scheme val="minor"/>
          </rPr>
          <t>Seleccione el tipo de procedimiento</t>
        </r>
      </text>
    </comment>
    <comment ref="E493" authorId="2" shapeId="0" xr:uid="{0C3C1C77-51D3-4F98-9068-20841F91A5E9}">
      <text>
        <r>
          <rPr>
            <sz val="11"/>
            <color theme="1"/>
            <rFont val="Calibri"/>
            <family val="2"/>
            <scheme val="minor"/>
          </rPr>
          <t>Seleccione un valor de la lista</t>
        </r>
      </text>
    </comment>
    <comment ref="F493" authorId="2" shapeId="0" xr:uid="{C8916D97-DD68-4FE1-A375-BB82458B1A6F}">
      <text>
        <r>
          <rPr>
            <sz val="11"/>
            <color theme="1"/>
            <rFont val="Calibri"/>
            <family val="2"/>
            <scheme val="minor"/>
          </rPr>
          <t>Introduzca el código SNIP</t>
        </r>
      </text>
    </comment>
    <comment ref="C494" authorId="2" shapeId="0" xr:uid="{FA3645C1-AD2A-4608-8E4E-7EA881AF7983}">
      <text>
        <r>
          <rPr>
            <sz val="11"/>
            <color theme="1"/>
            <rFont val="Calibri"/>
            <family val="2"/>
            <scheme val="minor"/>
          </rPr>
          <t>Introduzca la fecha de inicio del proceso, en formato dd-mm-aaaa</t>
        </r>
      </text>
    </comment>
    <comment ref="F494" authorId="2" shapeId="0" xr:uid="{59B29891-D061-4D3C-88E7-E90D08C668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2" shapeId="0" xr:uid="{5B10FE6C-6E03-4EDA-B914-165124784B21}">
      <text/>
    </comment>
    <comment ref="C496" authorId="2" shapeId="0" xr:uid="{DFC4D363-44D7-43C2-9754-31F4288B63AC}">
      <text>
        <r>
          <rPr>
            <sz val="11"/>
            <color theme="1"/>
            <rFont val="Calibri"/>
            <family val="2"/>
            <scheme val="minor"/>
          </rPr>
          <t>Introduzca la fecha prevista de adjudicación, en formato dd-mm-aaaa</t>
        </r>
      </text>
    </comment>
    <comment ref="F496" authorId="2" shapeId="0" xr:uid="{8FB0AB8A-0DD6-4C77-ABB7-A8E09757D7F1}">
      <text/>
    </comment>
    <comment ref="F497" authorId="2" shapeId="0" xr:uid="{B7CA7962-DAD7-41DC-ACB4-0ED0A3848C91}">
      <text/>
    </comment>
    <comment ref="A499" authorId="2" shapeId="0" xr:uid="{35F7E5A6-54B3-4915-9287-EE262F98A2E4}">
      <text>
        <r>
          <rPr>
            <sz val="11"/>
            <color theme="1"/>
            <rFont val="Calibri"/>
            <family val="2"/>
            <scheme val="minor"/>
          </rPr>
          <t>Introduzca un codigo UNSPSC</t>
        </r>
      </text>
    </comment>
    <comment ref="B499" authorId="2" shapeId="0" xr:uid="{A33F656D-01C0-499A-A221-0A576FE699E8}">
      <text>
        <r>
          <rPr>
            <sz val="11"/>
            <color theme="1"/>
            <rFont val="Calibri"/>
            <family val="2"/>
            <scheme val="minor"/>
          </rPr>
          <t>Descripción calculada automáticamente a partir de código del artículo</t>
        </r>
      </text>
    </comment>
    <comment ref="C499" authorId="2" shapeId="0" xr:uid="{10118812-C175-4E05-8DE8-24D068A5F2FE}">
      <text>
        <r>
          <rPr>
            <sz val="11"/>
            <color theme="1"/>
            <rFont val="Calibri"/>
            <family val="2"/>
            <scheme val="minor"/>
          </rPr>
          <t>Seleccione un valor de la lista</t>
        </r>
      </text>
    </comment>
    <comment ref="D499" authorId="2" shapeId="0" xr:uid="{A134D338-87A3-4A20-85B5-D3D5AB177F19}">
      <text>
        <r>
          <rPr>
            <sz val="11"/>
            <color theme="1"/>
            <rFont val="Calibri"/>
            <family val="2"/>
            <scheme val="minor"/>
          </rPr>
          <t>Introduzca un número con dos decimales como máximo. Debe ser igual o mayor a la "Cantidad Real Consumida"</t>
        </r>
      </text>
    </comment>
    <comment ref="E499" authorId="2" shapeId="0" xr:uid="{CF1AE870-6242-450E-9ACA-2A3AF6AA9C01}">
      <text>
        <r>
          <rPr>
            <sz val="11"/>
            <color theme="1"/>
            <rFont val="Calibri"/>
            <family val="2"/>
            <scheme val="minor"/>
          </rPr>
          <t>Introduzca un número con dos decimales como máximo</t>
        </r>
      </text>
    </comment>
    <comment ref="F499" authorId="2" shapeId="0" xr:uid="{7F7D69A9-CE87-464F-970E-433B5F102DE9}">
      <text>
        <r>
          <rPr>
            <sz val="11"/>
            <color theme="1"/>
            <rFont val="Calibri"/>
            <family val="2"/>
            <scheme val="minor"/>
          </rPr>
          <t>Monto calculado automáticamente por el sistema</t>
        </r>
      </text>
    </comment>
    <comment ref="A504" authorId="2" shapeId="0" xr:uid="{308907F8-9F4B-44C7-87AB-2BD6982325CC}">
      <text>
        <r>
          <rPr>
            <sz val="11"/>
            <color theme="1"/>
            <rFont val="Calibri"/>
            <family val="2"/>
            <scheme val="minor"/>
          </rPr>
          <t>Introducir un texto con el nombre o referencia de la contratación</t>
        </r>
      </text>
    </comment>
    <comment ref="B504" authorId="2" shapeId="0" xr:uid="{1D702382-7489-4AC3-8FAC-384BE4BFDACE}">
      <text>
        <r>
          <rPr>
            <sz val="11"/>
            <color theme="1"/>
            <rFont val="Calibri"/>
            <family val="2"/>
            <scheme val="minor"/>
          </rPr>
          <t>Introduzca un texto con la finalidad de la contratación</t>
        </r>
      </text>
    </comment>
    <comment ref="C504" authorId="2" shapeId="0" xr:uid="{D8D7C7B3-9D96-4C93-92CE-177B8608B52E}">
      <text>
        <r>
          <rPr>
            <sz val="11"/>
            <color theme="1"/>
            <rFont val="Calibri"/>
            <family val="2"/>
            <scheme val="minor"/>
          </rPr>
          <t>Seleccionar un valor del listado</t>
        </r>
      </text>
    </comment>
    <comment ref="D504" authorId="2" shapeId="0" xr:uid="{60F3426F-BAE9-4599-B01D-DDFB8B20455B}">
      <text>
        <r>
          <rPr>
            <sz val="11"/>
            <color theme="1"/>
            <rFont val="Calibri"/>
            <family val="2"/>
            <scheme val="minor"/>
          </rPr>
          <t>Seleccione el tipo de procedimiento</t>
        </r>
      </text>
    </comment>
    <comment ref="E504" authorId="2" shapeId="0" xr:uid="{29F32598-B295-4E43-80E4-69FBE26FC0FE}">
      <text>
        <r>
          <rPr>
            <sz val="11"/>
            <color theme="1"/>
            <rFont val="Calibri"/>
            <family val="2"/>
            <scheme val="minor"/>
          </rPr>
          <t>Seleccione un valor de la lista</t>
        </r>
      </text>
    </comment>
    <comment ref="F504" authorId="2" shapeId="0" xr:uid="{6868F17F-E1B0-4D44-9B9F-29DEF18CA138}">
      <text>
        <r>
          <rPr>
            <sz val="11"/>
            <color theme="1"/>
            <rFont val="Calibri"/>
            <family val="2"/>
            <scheme val="minor"/>
          </rPr>
          <t>Introduzca el código SNIP</t>
        </r>
      </text>
    </comment>
    <comment ref="C505" authorId="2" shapeId="0" xr:uid="{754E4058-9C9F-40E5-9CF1-E40B369294CC}">
      <text>
        <r>
          <rPr>
            <sz val="11"/>
            <color theme="1"/>
            <rFont val="Calibri"/>
            <family val="2"/>
            <scheme val="minor"/>
          </rPr>
          <t>Introduzca la fecha de inicio del proceso, en formato dd-mm-aaaa</t>
        </r>
      </text>
    </comment>
    <comment ref="F505" authorId="2" shapeId="0" xr:uid="{E691F0C1-8F53-4FF0-BCD6-47935B7369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2" shapeId="0" xr:uid="{50462C99-3AE3-4871-9D2D-D3BA927E018C}">
      <text/>
    </comment>
    <comment ref="C507" authorId="2" shapeId="0" xr:uid="{3B8E090C-D186-4829-BB5A-AF6BB3AE414F}">
      <text>
        <r>
          <rPr>
            <sz val="11"/>
            <color theme="1"/>
            <rFont val="Calibri"/>
            <family val="2"/>
            <scheme val="minor"/>
          </rPr>
          <t>Introduzca la fecha prevista de adjudicación, en formato dd-mm-aaaa</t>
        </r>
      </text>
    </comment>
    <comment ref="F507" authorId="2" shapeId="0" xr:uid="{0E3FC18C-B5EF-4BB2-BA66-AC79D16DF588}">
      <text/>
    </comment>
    <comment ref="F508" authorId="2" shapeId="0" xr:uid="{683B0D38-BEB7-47B0-AF80-46C5F9B0553F}">
      <text/>
    </comment>
    <comment ref="A510" authorId="2" shapeId="0" xr:uid="{61803321-589E-4484-88DD-DD67485DCA4D}">
      <text>
        <r>
          <rPr>
            <sz val="11"/>
            <color theme="1"/>
            <rFont val="Calibri"/>
            <family val="2"/>
            <scheme val="minor"/>
          </rPr>
          <t>Introduzca un codigo UNSPSC</t>
        </r>
      </text>
    </comment>
    <comment ref="B510" authorId="2" shapeId="0" xr:uid="{46532346-0BC7-4449-B0A5-A894E6C4BDB8}">
      <text>
        <r>
          <rPr>
            <sz val="11"/>
            <color theme="1"/>
            <rFont val="Calibri"/>
            <family val="2"/>
            <scheme val="minor"/>
          </rPr>
          <t>Descripción calculada automáticamente a partir de código del artículo</t>
        </r>
      </text>
    </comment>
    <comment ref="C510" authorId="2" shapeId="0" xr:uid="{BF11273F-C3D8-4F35-8A85-206BF8A69225}">
      <text>
        <r>
          <rPr>
            <sz val="11"/>
            <color theme="1"/>
            <rFont val="Calibri"/>
            <family val="2"/>
            <scheme val="minor"/>
          </rPr>
          <t>Seleccione un valor de la lista</t>
        </r>
      </text>
    </comment>
    <comment ref="D510" authorId="2" shapeId="0" xr:uid="{239461B5-B28B-456D-BE87-B68BBD609C55}">
      <text>
        <r>
          <rPr>
            <sz val="11"/>
            <color theme="1"/>
            <rFont val="Calibri"/>
            <family val="2"/>
            <scheme val="minor"/>
          </rPr>
          <t>Introduzca un número con dos decimales como máximo. Debe ser igual o mayor a la "Cantidad Real Consumida"</t>
        </r>
      </text>
    </comment>
    <comment ref="E510" authorId="2" shapeId="0" xr:uid="{1E4B648B-BDC1-4DB1-BFD1-534DBA04EA63}">
      <text>
        <r>
          <rPr>
            <sz val="11"/>
            <color theme="1"/>
            <rFont val="Calibri"/>
            <family val="2"/>
            <scheme val="minor"/>
          </rPr>
          <t>Introduzca un número con dos decimales como máximo</t>
        </r>
      </text>
    </comment>
    <comment ref="F510" authorId="2" shapeId="0" xr:uid="{86D56EAC-0035-4B68-AE57-20B5CFA30582}">
      <text>
        <r>
          <rPr>
            <sz val="11"/>
            <color theme="1"/>
            <rFont val="Calibri"/>
            <family val="2"/>
            <scheme val="minor"/>
          </rPr>
          <t>Monto calculado automáticamente por el sistema</t>
        </r>
      </text>
    </comment>
    <comment ref="A515" authorId="2" shapeId="0" xr:uid="{7CE7AE81-1E08-46B9-B688-260454667DC0}">
      <text>
        <r>
          <rPr>
            <sz val="11"/>
            <color theme="1"/>
            <rFont val="Calibri"/>
            <family val="2"/>
            <scheme val="minor"/>
          </rPr>
          <t>Introducir un texto con el nombre o referencia de la contratación</t>
        </r>
      </text>
    </comment>
    <comment ref="B515" authorId="2" shapeId="0" xr:uid="{7D76566E-7D1B-42B2-8EDE-319C70FF472C}">
      <text>
        <r>
          <rPr>
            <sz val="11"/>
            <color theme="1"/>
            <rFont val="Calibri"/>
            <family val="2"/>
            <scheme val="minor"/>
          </rPr>
          <t>Introduzca un texto con la finalidad de la contratación</t>
        </r>
      </text>
    </comment>
    <comment ref="C515" authorId="2" shapeId="0" xr:uid="{9E234649-B338-4E1C-ABAA-16B7DC84F247}">
      <text>
        <r>
          <rPr>
            <sz val="11"/>
            <color theme="1"/>
            <rFont val="Calibri"/>
            <family val="2"/>
            <scheme val="minor"/>
          </rPr>
          <t>Seleccionar un valor del listado</t>
        </r>
      </text>
    </comment>
    <comment ref="D515" authorId="2" shapeId="0" xr:uid="{11006A81-EFC6-46AF-B97F-1D68F812ECD0}">
      <text>
        <r>
          <rPr>
            <sz val="11"/>
            <color theme="1"/>
            <rFont val="Calibri"/>
            <family val="2"/>
            <scheme val="minor"/>
          </rPr>
          <t>Seleccione el tipo de procedimiento</t>
        </r>
      </text>
    </comment>
    <comment ref="E515" authorId="2" shapeId="0" xr:uid="{94B344C4-C2A6-48D7-82C6-DC9F1CAAF5EF}">
      <text>
        <r>
          <rPr>
            <sz val="11"/>
            <color theme="1"/>
            <rFont val="Calibri"/>
            <family val="2"/>
            <scheme val="minor"/>
          </rPr>
          <t>Seleccione un valor de la lista</t>
        </r>
      </text>
    </comment>
    <comment ref="F515" authorId="2" shapeId="0" xr:uid="{5B1C610C-B9E1-42B5-A61A-BD4CE98D5F55}">
      <text>
        <r>
          <rPr>
            <sz val="11"/>
            <color theme="1"/>
            <rFont val="Calibri"/>
            <family val="2"/>
            <scheme val="minor"/>
          </rPr>
          <t>Introduzca el código SNIP</t>
        </r>
      </text>
    </comment>
    <comment ref="C516" authorId="2" shapeId="0" xr:uid="{ADBFBAEA-FD22-4454-8082-F0BB3646B039}">
      <text>
        <r>
          <rPr>
            <sz val="11"/>
            <color theme="1"/>
            <rFont val="Calibri"/>
            <family val="2"/>
            <scheme val="minor"/>
          </rPr>
          <t>Introduzca la fecha de inicio del proceso, en formato dd-mm-aaaa</t>
        </r>
      </text>
    </comment>
    <comment ref="F516" authorId="2" shapeId="0" xr:uid="{B7859E41-4DFB-4927-B5A1-2CBAA2DE1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2" shapeId="0" xr:uid="{8FBEDD02-52CD-40CB-803B-48EEC361653B}">
      <text/>
    </comment>
    <comment ref="C518" authorId="2" shapeId="0" xr:uid="{57B8C8A1-0CF1-49A9-973E-8C0DDE7D4323}">
      <text>
        <r>
          <rPr>
            <sz val="11"/>
            <color theme="1"/>
            <rFont val="Calibri"/>
            <family val="2"/>
            <scheme val="minor"/>
          </rPr>
          <t>Introduzca la fecha prevista de adjudicación, en formato dd-mm-aaaa</t>
        </r>
      </text>
    </comment>
    <comment ref="F518" authorId="2" shapeId="0" xr:uid="{122B80E7-408D-4E39-8368-CAB2C769776E}">
      <text/>
    </comment>
    <comment ref="F519" authorId="2" shapeId="0" xr:uid="{CF3880BB-A048-4D85-A753-D3142C4A4E2C}">
      <text/>
    </comment>
    <comment ref="A521" authorId="2" shapeId="0" xr:uid="{BC905C08-4F1D-4467-8F21-6377FF4F210C}">
      <text>
        <r>
          <rPr>
            <sz val="11"/>
            <color theme="1"/>
            <rFont val="Calibri"/>
            <family val="2"/>
            <scheme val="minor"/>
          </rPr>
          <t>Introduzca un codigo UNSPSC</t>
        </r>
      </text>
    </comment>
    <comment ref="B521" authorId="2" shapeId="0" xr:uid="{D17F2CF4-FA88-41E4-BEDF-E79425DCA5C3}">
      <text>
        <r>
          <rPr>
            <sz val="11"/>
            <color theme="1"/>
            <rFont val="Calibri"/>
            <family val="2"/>
            <scheme val="minor"/>
          </rPr>
          <t>Descripción calculada automáticamente a partir de código del artículo</t>
        </r>
      </text>
    </comment>
    <comment ref="C521" authorId="2" shapeId="0" xr:uid="{E82592C6-7BBE-4E7D-BF39-A9DF945ED774}">
      <text>
        <r>
          <rPr>
            <sz val="11"/>
            <color theme="1"/>
            <rFont val="Calibri"/>
            <family val="2"/>
            <scheme val="minor"/>
          </rPr>
          <t>Seleccione un valor de la lista</t>
        </r>
      </text>
    </comment>
    <comment ref="D521" authorId="2" shapeId="0" xr:uid="{219C0CBC-2A8E-4EA7-94E6-BEA54D3A694F}">
      <text>
        <r>
          <rPr>
            <sz val="11"/>
            <color theme="1"/>
            <rFont val="Calibri"/>
            <family val="2"/>
            <scheme val="minor"/>
          </rPr>
          <t>Introduzca un número con dos decimales como máximo. Debe ser igual o mayor a la "Cantidad Real Consumida"</t>
        </r>
      </text>
    </comment>
    <comment ref="E521" authorId="2" shapeId="0" xr:uid="{9635631F-1151-4837-8552-A2F0F552ABD6}">
      <text>
        <r>
          <rPr>
            <sz val="11"/>
            <color theme="1"/>
            <rFont val="Calibri"/>
            <family val="2"/>
            <scheme val="minor"/>
          </rPr>
          <t>Introduzca un número con dos decimales como máximo</t>
        </r>
      </text>
    </comment>
    <comment ref="F521" authorId="2" shapeId="0" xr:uid="{253D4A3A-AC7B-49A1-98C2-3ED2ED90412D}">
      <text>
        <r>
          <rPr>
            <sz val="11"/>
            <color theme="1"/>
            <rFont val="Calibri"/>
            <family val="2"/>
            <scheme val="minor"/>
          </rPr>
          <t>Monto calculado automáticamente por el sistema</t>
        </r>
      </text>
    </comment>
    <comment ref="A526" authorId="2" shapeId="0" xr:uid="{89C2B7B1-7601-4867-A71F-A33E2D170540}">
      <text>
        <r>
          <rPr>
            <sz val="11"/>
            <color theme="1"/>
            <rFont val="Calibri"/>
            <family val="2"/>
            <scheme val="minor"/>
          </rPr>
          <t>Introducir un texto con el nombre o referencia de la contratación</t>
        </r>
      </text>
    </comment>
    <comment ref="B526" authorId="2" shapeId="0" xr:uid="{A61FDCCA-CF25-406D-A720-95AB505854E0}">
      <text>
        <r>
          <rPr>
            <sz val="11"/>
            <color theme="1"/>
            <rFont val="Calibri"/>
            <family val="2"/>
            <scheme val="minor"/>
          </rPr>
          <t>Introduzca un texto con la finalidad de la contratación</t>
        </r>
      </text>
    </comment>
    <comment ref="C526" authorId="2" shapeId="0" xr:uid="{CC081461-695F-40AE-A197-B231ECDF1CC3}">
      <text>
        <r>
          <rPr>
            <sz val="11"/>
            <color theme="1"/>
            <rFont val="Calibri"/>
            <family val="2"/>
            <scheme val="minor"/>
          </rPr>
          <t>Seleccionar un valor del listado</t>
        </r>
      </text>
    </comment>
    <comment ref="D526" authorId="2" shapeId="0" xr:uid="{42ADB26B-B6EF-4FF4-BA92-8D762D78784E}">
      <text>
        <r>
          <rPr>
            <sz val="11"/>
            <color theme="1"/>
            <rFont val="Calibri"/>
            <family val="2"/>
            <scheme val="minor"/>
          </rPr>
          <t>Seleccione el tipo de procedimiento</t>
        </r>
      </text>
    </comment>
    <comment ref="E526" authorId="2" shapeId="0" xr:uid="{291B63F3-C3DA-4DFD-8F68-6D8D3C7E0AED}">
      <text>
        <r>
          <rPr>
            <sz val="11"/>
            <color theme="1"/>
            <rFont val="Calibri"/>
            <family val="2"/>
            <scheme val="minor"/>
          </rPr>
          <t>Seleccione un valor de la lista</t>
        </r>
      </text>
    </comment>
    <comment ref="F526" authorId="2" shapeId="0" xr:uid="{C741C2F7-11AE-4F82-A3D7-01ACE3B264ED}">
      <text>
        <r>
          <rPr>
            <sz val="11"/>
            <color theme="1"/>
            <rFont val="Calibri"/>
            <family val="2"/>
            <scheme val="minor"/>
          </rPr>
          <t>Introduzca el código SNIP</t>
        </r>
      </text>
    </comment>
    <comment ref="C527" authorId="2" shapeId="0" xr:uid="{4AD17612-0547-4895-B306-D20F9E44D1F0}">
      <text>
        <r>
          <rPr>
            <sz val="11"/>
            <color theme="1"/>
            <rFont val="Calibri"/>
            <family val="2"/>
            <scheme val="minor"/>
          </rPr>
          <t>Introduzca la fecha de inicio del proceso, en formato dd-mm-aaaa</t>
        </r>
      </text>
    </comment>
    <comment ref="F527" authorId="2" shapeId="0" xr:uid="{56BF8461-DE48-4B30-986E-D5C076CD0F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2" shapeId="0" xr:uid="{801BF82E-002D-4012-B617-12219DA6F6BB}">
      <text/>
    </comment>
    <comment ref="C529" authorId="2" shapeId="0" xr:uid="{679BB7B6-0B49-48AF-9116-91443715391E}">
      <text>
        <r>
          <rPr>
            <sz val="11"/>
            <color theme="1"/>
            <rFont val="Calibri"/>
            <family val="2"/>
            <scheme val="minor"/>
          </rPr>
          <t>Introduzca la fecha prevista de adjudicación, en formato dd-mm-aaaa</t>
        </r>
      </text>
    </comment>
    <comment ref="F529" authorId="2" shapeId="0" xr:uid="{4265CEC2-A2FD-45DE-BB32-837238293011}">
      <text/>
    </comment>
    <comment ref="F530" authorId="2" shapeId="0" xr:uid="{B7417147-5442-4B0D-BA69-88CA4B050301}">
      <text/>
    </comment>
    <comment ref="A532" authorId="2" shapeId="0" xr:uid="{DCA66486-09BF-451D-A194-F5AB92D2E926}">
      <text>
        <r>
          <rPr>
            <sz val="11"/>
            <color theme="1"/>
            <rFont val="Calibri"/>
            <family val="2"/>
            <scheme val="minor"/>
          </rPr>
          <t>Introduzca un codigo UNSPSC</t>
        </r>
      </text>
    </comment>
    <comment ref="B532" authorId="2" shapeId="0" xr:uid="{16A5C82B-FA60-400A-AE47-781599CADEE6}">
      <text>
        <r>
          <rPr>
            <sz val="11"/>
            <color theme="1"/>
            <rFont val="Calibri"/>
            <family val="2"/>
            <scheme val="minor"/>
          </rPr>
          <t>Descripción calculada automáticamente a partir de código del artículo</t>
        </r>
      </text>
    </comment>
    <comment ref="C532" authorId="2" shapeId="0" xr:uid="{BB4783A5-D098-4073-A888-B075C2760DE8}">
      <text>
        <r>
          <rPr>
            <sz val="11"/>
            <color theme="1"/>
            <rFont val="Calibri"/>
            <family val="2"/>
            <scheme val="minor"/>
          </rPr>
          <t>Seleccione un valor de la lista</t>
        </r>
      </text>
    </comment>
    <comment ref="D532" authorId="2" shapeId="0" xr:uid="{48DDC4E7-ED9F-444E-9C32-BF2B8AEA8C11}">
      <text>
        <r>
          <rPr>
            <sz val="11"/>
            <color theme="1"/>
            <rFont val="Calibri"/>
            <family val="2"/>
            <scheme val="minor"/>
          </rPr>
          <t>Introduzca un número con dos decimales como máximo. Debe ser igual o mayor a la "Cantidad Real Consumida"</t>
        </r>
      </text>
    </comment>
    <comment ref="E532" authorId="2" shapeId="0" xr:uid="{99064FC9-A03B-49F9-8BC0-A82A66C3A4F6}">
      <text>
        <r>
          <rPr>
            <sz val="11"/>
            <color theme="1"/>
            <rFont val="Calibri"/>
            <family val="2"/>
            <scheme val="minor"/>
          </rPr>
          <t>Introduzca un número con dos decimales como máximo</t>
        </r>
      </text>
    </comment>
    <comment ref="F532" authorId="2" shapeId="0" xr:uid="{75F0A963-B336-4BC2-B78F-6FAD2B183BD9}">
      <text>
        <r>
          <rPr>
            <sz val="11"/>
            <color theme="1"/>
            <rFont val="Calibri"/>
            <family val="2"/>
            <scheme val="minor"/>
          </rPr>
          <t>Monto calculado automáticamente por el sistema</t>
        </r>
      </text>
    </comment>
    <comment ref="A537" authorId="2" shapeId="0" xr:uid="{7C982288-F627-408C-AE48-BDB09E197B2E}">
      <text>
        <r>
          <rPr>
            <sz val="11"/>
            <color theme="1"/>
            <rFont val="Calibri"/>
            <family val="2"/>
            <scheme val="minor"/>
          </rPr>
          <t>Introducir un texto con el nombre o referencia de la contratación</t>
        </r>
      </text>
    </comment>
    <comment ref="B537" authorId="2" shapeId="0" xr:uid="{0F54BECA-A698-4509-9BA1-ABF417AD8B9F}">
      <text>
        <r>
          <rPr>
            <sz val="11"/>
            <color theme="1"/>
            <rFont val="Calibri"/>
            <family val="2"/>
            <scheme val="minor"/>
          </rPr>
          <t>Introduzca un texto con la finalidad de la contratación</t>
        </r>
      </text>
    </comment>
    <comment ref="C537" authorId="2" shapeId="0" xr:uid="{5712E280-BD70-4093-B76A-4C809F487169}">
      <text>
        <r>
          <rPr>
            <sz val="11"/>
            <color theme="1"/>
            <rFont val="Calibri"/>
            <family val="2"/>
            <scheme val="minor"/>
          </rPr>
          <t>Seleccionar un valor del listado</t>
        </r>
      </text>
    </comment>
    <comment ref="D537" authorId="2" shapeId="0" xr:uid="{80B80F92-C4C7-41E4-BC9C-EC22323F3C7A}">
      <text>
        <r>
          <rPr>
            <sz val="11"/>
            <color theme="1"/>
            <rFont val="Calibri"/>
            <family val="2"/>
            <scheme val="minor"/>
          </rPr>
          <t>Seleccione el tipo de procedimiento</t>
        </r>
      </text>
    </comment>
    <comment ref="E537" authorId="2" shapeId="0" xr:uid="{927D24B8-F2B0-4B14-BB93-8E4327A744F3}">
      <text>
        <r>
          <rPr>
            <sz val="11"/>
            <color theme="1"/>
            <rFont val="Calibri"/>
            <family val="2"/>
            <scheme val="minor"/>
          </rPr>
          <t>Seleccione un valor de la lista</t>
        </r>
      </text>
    </comment>
    <comment ref="F537" authorId="2" shapeId="0" xr:uid="{34409B9A-C093-44D9-A408-DC27E5AD167B}">
      <text>
        <r>
          <rPr>
            <sz val="11"/>
            <color theme="1"/>
            <rFont val="Calibri"/>
            <family val="2"/>
            <scheme val="minor"/>
          </rPr>
          <t>Introduzca el código SNIP</t>
        </r>
      </text>
    </comment>
    <comment ref="C538" authorId="2" shapeId="0" xr:uid="{BEB2B789-BD41-4B38-B400-D73DD171E5D5}">
      <text>
        <r>
          <rPr>
            <sz val="11"/>
            <color theme="1"/>
            <rFont val="Calibri"/>
            <family val="2"/>
            <scheme val="minor"/>
          </rPr>
          <t>Introduzca la fecha de inicio del proceso, en formato dd-mm-aaaa</t>
        </r>
      </text>
    </comment>
    <comment ref="F538" authorId="2" shapeId="0" xr:uid="{C3803B11-FED1-43E4-9F32-15C34AE1E0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xr:uid="{E7D054C8-DFBA-4974-85A2-8E80FCA91077}">
      <text/>
    </comment>
    <comment ref="C540" authorId="2" shapeId="0" xr:uid="{CE514830-54DA-4B68-B311-B4BAE5F2D58F}">
      <text>
        <r>
          <rPr>
            <sz val="11"/>
            <color theme="1"/>
            <rFont val="Calibri"/>
            <family val="2"/>
            <scheme val="minor"/>
          </rPr>
          <t>Introduzca la fecha prevista de adjudicación, en formato dd-mm-aaaa</t>
        </r>
      </text>
    </comment>
    <comment ref="F540" authorId="2" shapeId="0" xr:uid="{BA102C0B-2D39-4E3B-BB24-D9C93874A0CC}">
      <text/>
    </comment>
    <comment ref="F541" authorId="2" shapeId="0" xr:uid="{691F425F-8EF1-40DB-9078-DACF2A632E7C}">
      <text/>
    </comment>
    <comment ref="A543" authorId="2" shapeId="0" xr:uid="{07C52AE1-AB0D-4E6A-8E6E-791860552C7C}">
      <text>
        <r>
          <rPr>
            <sz val="11"/>
            <color theme="1"/>
            <rFont val="Calibri"/>
            <family val="2"/>
            <scheme val="minor"/>
          </rPr>
          <t>Introduzca un codigo UNSPSC</t>
        </r>
      </text>
    </comment>
    <comment ref="B543" authorId="2" shapeId="0" xr:uid="{50EF607D-7F23-4C24-84FE-7D42C2AA7D28}">
      <text>
        <r>
          <rPr>
            <sz val="11"/>
            <color theme="1"/>
            <rFont val="Calibri"/>
            <family val="2"/>
            <scheme val="minor"/>
          </rPr>
          <t>Descripción calculada automáticamente a partir de código del artículo</t>
        </r>
      </text>
    </comment>
    <comment ref="C543" authorId="2" shapeId="0" xr:uid="{D403B35F-63BD-48DE-A3AE-38A66A0040A4}">
      <text>
        <r>
          <rPr>
            <sz val="11"/>
            <color theme="1"/>
            <rFont val="Calibri"/>
            <family val="2"/>
            <scheme val="minor"/>
          </rPr>
          <t>Seleccione un valor de la lista</t>
        </r>
      </text>
    </comment>
    <comment ref="D543" authorId="2" shapeId="0" xr:uid="{30D106DB-020B-4235-82DC-1621C52DD6D7}">
      <text>
        <r>
          <rPr>
            <sz val="11"/>
            <color theme="1"/>
            <rFont val="Calibri"/>
            <family val="2"/>
            <scheme val="minor"/>
          </rPr>
          <t>Introduzca un número con dos decimales como máximo. Debe ser igual o mayor a la "Cantidad Real Consumida"</t>
        </r>
      </text>
    </comment>
    <comment ref="E543" authorId="2" shapeId="0" xr:uid="{1408744C-BABA-42D1-A8D5-7BADF8DA422A}">
      <text>
        <r>
          <rPr>
            <sz val="11"/>
            <color theme="1"/>
            <rFont val="Calibri"/>
            <family val="2"/>
            <scheme val="minor"/>
          </rPr>
          <t>Introduzca un número con dos decimales como máximo</t>
        </r>
      </text>
    </comment>
    <comment ref="F543" authorId="2" shapeId="0" xr:uid="{C6C86398-085C-4125-9607-91434D7B4D17}">
      <text>
        <r>
          <rPr>
            <sz val="11"/>
            <color theme="1"/>
            <rFont val="Calibri"/>
            <family val="2"/>
            <scheme val="minor"/>
          </rPr>
          <t>Monto calculado automáticamente por el sistema</t>
        </r>
      </text>
    </comment>
    <comment ref="A548" authorId="2" shapeId="0" xr:uid="{AA7C7EB8-E36D-424C-8D49-58287AEA1DB4}">
      <text>
        <r>
          <rPr>
            <sz val="11"/>
            <color theme="1"/>
            <rFont val="Calibri"/>
            <family val="2"/>
            <scheme val="minor"/>
          </rPr>
          <t>Introducir un texto con el nombre o referencia de la contratación</t>
        </r>
      </text>
    </comment>
    <comment ref="B548" authorId="2" shapeId="0" xr:uid="{7D718695-6286-494A-BD69-C34B78DDE4C3}">
      <text>
        <r>
          <rPr>
            <sz val="11"/>
            <color theme="1"/>
            <rFont val="Calibri"/>
            <family val="2"/>
            <scheme val="minor"/>
          </rPr>
          <t>Introduzca un texto con la finalidad de la contratación</t>
        </r>
      </text>
    </comment>
    <comment ref="C548" authorId="2" shapeId="0" xr:uid="{6DE99610-710E-4570-9EFB-E5A7E5EC59A0}">
      <text>
        <r>
          <rPr>
            <sz val="11"/>
            <color theme="1"/>
            <rFont val="Calibri"/>
            <family val="2"/>
            <scheme val="minor"/>
          </rPr>
          <t>Seleccionar un valor del listado</t>
        </r>
      </text>
    </comment>
    <comment ref="D548" authorId="2" shapeId="0" xr:uid="{81093D6E-4B63-418B-91DC-5F253F6B4609}">
      <text>
        <r>
          <rPr>
            <sz val="11"/>
            <color theme="1"/>
            <rFont val="Calibri"/>
            <family val="2"/>
            <scheme val="minor"/>
          </rPr>
          <t>Seleccione el tipo de procedimiento</t>
        </r>
      </text>
    </comment>
    <comment ref="E548" authorId="2" shapeId="0" xr:uid="{C3FBE490-1806-479C-8B8E-D7637AFB0AF9}">
      <text>
        <r>
          <rPr>
            <sz val="11"/>
            <color theme="1"/>
            <rFont val="Calibri"/>
            <family val="2"/>
            <scheme val="minor"/>
          </rPr>
          <t>Seleccione un valor de la lista</t>
        </r>
      </text>
    </comment>
    <comment ref="F548" authorId="2" shapeId="0" xr:uid="{8AB63A53-50E3-454C-B614-D889E0DBFA64}">
      <text>
        <r>
          <rPr>
            <sz val="11"/>
            <color theme="1"/>
            <rFont val="Calibri"/>
            <family val="2"/>
            <scheme val="minor"/>
          </rPr>
          <t>Introduzca el código SNIP</t>
        </r>
      </text>
    </comment>
    <comment ref="C549" authorId="2" shapeId="0" xr:uid="{C5BC50F7-AFBD-44B1-9322-2AB3F469D1ED}">
      <text>
        <r>
          <rPr>
            <sz val="11"/>
            <color theme="1"/>
            <rFont val="Calibri"/>
            <family val="2"/>
            <scheme val="minor"/>
          </rPr>
          <t>Introduzca la fecha de inicio del proceso, en formato dd-mm-aaaa</t>
        </r>
      </text>
    </comment>
    <comment ref="F549" authorId="2" shapeId="0" xr:uid="{8A25DD9F-ADD7-4992-8A66-98D2BFBC7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F1130B2F-7FCC-4C2A-B155-658EA836B101}">
      <text/>
    </comment>
    <comment ref="C551" authorId="2" shapeId="0" xr:uid="{3E50CC02-DCB3-417B-8553-4F7D70FFBDAD}">
      <text>
        <r>
          <rPr>
            <sz val="11"/>
            <color theme="1"/>
            <rFont val="Calibri"/>
            <family val="2"/>
            <scheme val="minor"/>
          </rPr>
          <t>Introduzca la fecha prevista de adjudicación, en formato dd-mm-aaaa</t>
        </r>
      </text>
    </comment>
    <comment ref="F551" authorId="2" shapeId="0" xr:uid="{76B810FF-4D11-41DE-A96D-E9B7EC4160F6}">
      <text/>
    </comment>
    <comment ref="F552" authorId="2" shapeId="0" xr:uid="{B8163336-BA75-4CC2-B875-2DD5D4590A62}">
      <text/>
    </comment>
    <comment ref="A554" authorId="2" shapeId="0" xr:uid="{28803384-F590-45C1-9902-156519E3D4F9}">
      <text>
        <r>
          <rPr>
            <sz val="11"/>
            <color theme="1"/>
            <rFont val="Calibri"/>
            <family val="2"/>
            <scheme val="minor"/>
          </rPr>
          <t>Introduzca un codigo UNSPSC</t>
        </r>
      </text>
    </comment>
    <comment ref="B554" authorId="2" shapeId="0" xr:uid="{DEA20F20-8663-46C6-B609-AD08807AF9DA}">
      <text>
        <r>
          <rPr>
            <sz val="11"/>
            <color theme="1"/>
            <rFont val="Calibri"/>
            <family val="2"/>
            <scheme val="minor"/>
          </rPr>
          <t>Descripción calculada automáticamente a partir de código del artículo</t>
        </r>
      </text>
    </comment>
    <comment ref="C554" authorId="2" shapeId="0" xr:uid="{A2A23636-101A-48A6-8222-C890DFE613CA}">
      <text>
        <r>
          <rPr>
            <sz val="11"/>
            <color theme="1"/>
            <rFont val="Calibri"/>
            <family val="2"/>
            <scheme val="minor"/>
          </rPr>
          <t>Seleccione un valor de la lista</t>
        </r>
      </text>
    </comment>
    <comment ref="D554" authorId="2" shapeId="0" xr:uid="{A6FCFE3C-B4FA-4196-9EBF-8A804AC412E8}">
      <text>
        <r>
          <rPr>
            <sz val="11"/>
            <color theme="1"/>
            <rFont val="Calibri"/>
            <family val="2"/>
            <scheme val="minor"/>
          </rPr>
          <t>Introduzca un número con dos decimales como máximo. Debe ser igual o mayor a la "Cantidad Real Consumida"</t>
        </r>
      </text>
    </comment>
    <comment ref="E554" authorId="2" shapeId="0" xr:uid="{BCF5C29B-FBCD-43E4-B79E-183DC4671E37}">
      <text>
        <r>
          <rPr>
            <sz val="11"/>
            <color theme="1"/>
            <rFont val="Calibri"/>
            <family val="2"/>
            <scheme val="minor"/>
          </rPr>
          <t>Introduzca un número con dos decimales como máximo</t>
        </r>
      </text>
    </comment>
    <comment ref="F554" authorId="2" shapeId="0" xr:uid="{9FFC0CB0-D099-4F77-B2E5-15E22F6E7CB5}">
      <text>
        <r>
          <rPr>
            <sz val="11"/>
            <color theme="1"/>
            <rFont val="Calibri"/>
            <family val="2"/>
            <scheme val="minor"/>
          </rPr>
          <t>Monto calculado automáticamente por el sistema</t>
        </r>
      </text>
    </comment>
    <comment ref="A559" authorId="2" shapeId="0" xr:uid="{5E5D1C72-2CA8-4C14-9C06-D5AEBF79DB9F}">
      <text>
        <r>
          <rPr>
            <sz val="11"/>
            <color theme="1"/>
            <rFont val="Calibri"/>
            <family val="2"/>
            <scheme val="minor"/>
          </rPr>
          <t>Introducir un texto con el nombre o referencia de la contratación</t>
        </r>
      </text>
    </comment>
    <comment ref="B559" authorId="2" shapeId="0" xr:uid="{2B368145-8607-4D2E-88DB-E03BC5FC4469}">
      <text>
        <r>
          <rPr>
            <sz val="11"/>
            <color theme="1"/>
            <rFont val="Calibri"/>
            <family val="2"/>
            <scheme val="minor"/>
          </rPr>
          <t>Introduzca un texto con la finalidad de la contratación</t>
        </r>
      </text>
    </comment>
    <comment ref="C559" authorId="2" shapeId="0" xr:uid="{D35D083E-6618-4909-883D-4AE640F039F3}">
      <text>
        <r>
          <rPr>
            <sz val="11"/>
            <color theme="1"/>
            <rFont val="Calibri"/>
            <family val="2"/>
            <scheme val="minor"/>
          </rPr>
          <t>Seleccionar un valor del listado</t>
        </r>
      </text>
    </comment>
    <comment ref="D559" authorId="2" shapeId="0" xr:uid="{35FA4EC8-176B-4856-AE50-EBC30D0B58CC}">
      <text>
        <r>
          <rPr>
            <sz val="11"/>
            <color theme="1"/>
            <rFont val="Calibri"/>
            <family val="2"/>
            <scheme val="minor"/>
          </rPr>
          <t>Seleccione el tipo de procedimiento</t>
        </r>
      </text>
    </comment>
    <comment ref="E559" authorId="2" shapeId="0" xr:uid="{75FFE219-FCF7-4DD3-BFA3-C65F766A4155}">
      <text>
        <r>
          <rPr>
            <sz val="11"/>
            <color theme="1"/>
            <rFont val="Calibri"/>
            <family val="2"/>
            <scheme val="minor"/>
          </rPr>
          <t>Seleccione un valor de la lista</t>
        </r>
      </text>
    </comment>
    <comment ref="F559" authorId="2" shapeId="0" xr:uid="{CCDCF14E-D71C-4071-A6D5-E41B588BB8B7}">
      <text>
        <r>
          <rPr>
            <sz val="11"/>
            <color theme="1"/>
            <rFont val="Calibri"/>
            <family val="2"/>
            <scheme val="minor"/>
          </rPr>
          <t>Introduzca el código SNIP</t>
        </r>
      </text>
    </comment>
    <comment ref="C560" authorId="2" shapeId="0" xr:uid="{42F05B35-222D-4C86-97FD-BE47A3BF3B18}">
      <text>
        <r>
          <rPr>
            <sz val="11"/>
            <color theme="1"/>
            <rFont val="Calibri"/>
            <family val="2"/>
            <scheme val="minor"/>
          </rPr>
          <t>Introduzca la fecha de inicio del proceso, en formato dd-mm-aaaa</t>
        </r>
      </text>
    </comment>
    <comment ref="F560" authorId="2" shapeId="0" xr:uid="{0845C8E6-F196-453A-9534-7D4D8B1A9A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xr:uid="{285AA7F9-6936-4539-AAEB-1C21F97C73AB}">
      <text/>
    </comment>
    <comment ref="C562" authorId="2" shapeId="0" xr:uid="{8C004E38-AED8-4E91-BCA9-D6C6251FA851}">
      <text>
        <r>
          <rPr>
            <sz val="11"/>
            <color theme="1"/>
            <rFont val="Calibri"/>
            <family val="2"/>
            <scheme val="minor"/>
          </rPr>
          <t>Introduzca la fecha prevista de adjudicación, en formato dd-mm-aaaa</t>
        </r>
      </text>
    </comment>
    <comment ref="F562" authorId="2" shapeId="0" xr:uid="{9374A75A-F92B-49BD-9C92-AD96CB45C249}">
      <text/>
    </comment>
    <comment ref="F563" authorId="2" shapeId="0" xr:uid="{C45CF8C0-83F9-427B-BABF-195015A3EFA3}">
      <text/>
    </comment>
    <comment ref="A565" authorId="2" shapeId="0" xr:uid="{9C9257A1-0475-4AD5-841D-92E28DD4356F}">
      <text>
        <r>
          <rPr>
            <sz val="11"/>
            <color theme="1"/>
            <rFont val="Calibri"/>
            <family val="2"/>
            <scheme val="minor"/>
          </rPr>
          <t>Introduzca un codigo UNSPSC</t>
        </r>
      </text>
    </comment>
    <comment ref="B565" authorId="2" shapeId="0" xr:uid="{07335677-C33F-44B7-A865-D13123AAA4F4}">
      <text>
        <r>
          <rPr>
            <sz val="11"/>
            <color theme="1"/>
            <rFont val="Calibri"/>
            <family val="2"/>
            <scheme val="minor"/>
          </rPr>
          <t>Descripción calculada automáticamente a partir de código del artículo</t>
        </r>
      </text>
    </comment>
    <comment ref="C565" authorId="2" shapeId="0" xr:uid="{2FA8AA99-33E6-481D-98F1-D692C846D355}">
      <text>
        <r>
          <rPr>
            <sz val="11"/>
            <color theme="1"/>
            <rFont val="Calibri"/>
            <family val="2"/>
            <scheme val="minor"/>
          </rPr>
          <t>Seleccione un valor de la lista</t>
        </r>
      </text>
    </comment>
    <comment ref="D565" authorId="2" shapeId="0" xr:uid="{0103A248-0A7D-42B6-85FD-B37765AF062E}">
      <text>
        <r>
          <rPr>
            <sz val="11"/>
            <color theme="1"/>
            <rFont val="Calibri"/>
            <family val="2"/>
            <scheme val="minor"/>
          </rPr>
          <t>Introduzca un número con dos decimales como máximo. Debe ser igual o mayor a la "Cantidad Real Consumida"</t>
        </r>
      </text>
    </comment>
    <comment ref="E565" authorId="2" shapeId="0" xr:uid="{6EDD88B2-81CC-4E9D-A4B5-34FD037A6B5E}">
      <text>
        <r>
          <rPr>
            <sz val="11"/>
            <color theme="1"/>
            <rFont val="Calibri"/>
            <family val="2"/>
            <scheme val="minor"/>
          </rPr>
          <t>Introduzca un número con dos decimales como máximo</t>
        </r>
      </text>
    </comment>
    <comment ref="F565" authorId="2" shapeId="0" xr:uid="{E01ABBFE-8189-4C69-B544-372D79B1E2AB}">
      <text>
        <r>
          <rPr>
            <sz val="11"/>
            <color theme="1"/>
            <rFont val="Calibri"/>
            <family val="2"/>
            <scheme val="minor"/>
          </rPr>
          <t>Monto calculado automáticamente por el sistema</t>
        </r>
      </text>
    </comment>
    <comment ref="A570" authorId="2" shapeId="0" xr:uid="{55A215EE-1371-4A24-9FC1-8740541CD32B}">
      <text>
        <r>
          <rPr>
            <sz val="11"/>
            <color theme="1"/>
            <rFont val="Calibri"/>
            <family val="2"/>
            <scheme val="minor"/>
          </rPr>
          <t>Introducir un texto con el nombre o referencia de la contratación</t>
        </r>
      </text>
    </comment>
    <comment ref="B570" authorId="2" shapeId="0" xr:uid="{3D2628F7-6DA0-4115-B71A-A245EED7A0D6}">
      <text>
        <r>
          <rPr>
            <sz val="11"/>
            <color theme="1"/>
            <rFont val="Calibri"/>
            <family val="2"/>
            <scheme val="minor"/>
          </rPr>
          <t>Introduzca un texto con la finalidad de la contratación</t>
        </r>
      </text>
    </comment>
    <comment ref="C570" authorId="2" shapeId="0" xr:uid="{1A4E5B9E-583A-41B1-95E9-48348104F5E2}">
      <text>
        <r>
          <rPr>
            <sz val="11"/>
            <color theme="1"/>
            <rFont val="Calibri"/>
            <family val="2"/>
            <scheme val="minor"/>
          </rPr>
          <t>Seleccionar un valor del listado</t>
        </r>
      </text>
    </comment>
    <comment ref="D570" authorId="2" shapeId="0" xr:uid="{FEC12800-3698-4903-B646-5D7E3E9E870E}">
      <text>
        <r>
          <rPr>
            <sz val="11"/>
            <color theme="1"/>
            <rFont val="Calibri"/>
            <family val="2"/>
            <scheme val="minor"/>
          </rPr>
          <t>Seleccione el tipo de procedimiento</t>
        </r>
      </text>
    </comment>
    <comment ref="E570" authorId="2" shapeId="0" xr:uid="{44D4494B-D4C9-4213-A66F-CAACC1C591B2}">
      <text>
        <r>
          <rPr>
            <sz val="11"/>
            <color theme="1"/>
            <rFont val="Calibri"/>
            <family val="2"/>
            <scheme val="minor"/>
          </rPr>
          <t>Seleccione un valor de la lista</t>
        </r>
      </text>
    </comment>
    <comment ref="F570" authorId="2" shapeId="0" xr:uid="{200C0A69-B560-4089-BCF9-B790C3E8A1E6}">
      <text>
        <r>
          <rPr>
            <sz val="11"/>
            <color theme="1"/>
            <rFont val="Calibri"/>
            <family val="2"/>
            <scheme val="minor"/>
          </rPr>
          <t>Introduzca el código SNIP</t>
        </r>
      </text>
    </comment>
    <comment ref="C571" authorId="2" shapeId="0" xr:uid="{F31DED7D-A940-402F-8ECA-ED9A566BD54A}">
      <text>
        <r>
          <rPr>
            <sz val="11"/>
            <color theme="1"/>
            <rFont val="Calibri"/>
            <family val="2"/>
            <scheme val="minor"/>
          </rPr>
          <t>Introduzca la fecha de inicio del proceso, en formato dd-mm-aaaa</t>
        </r>
      </text>
    </comment>
    <comment ref="F571" authorId="2" shapeId="0" xr:uid="{6DEF7BAF-1402-43AD-BB5E-90531AA560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xr:uid="{E29E42CE-8C15-4B09-9445-242B37EC81C6}">
      <text/>
    </comment>
    <comment ref="C573" authorId="2" shapeId="0" xr:uid="{B36B8713-3A8E-4278-A424-B3E69EF1733B}">
      <text>
        <r>
          <rPr>
            <sz val="11"/>
            <color theme="1"/>
            <rFont val="Calibri"/>
            <family val="2"/>
            <scheme val="minor"/>
          </rPr>
          <t>Introduzca la fecha prevista de adjudicación, en formato dd-mm-aaaa</t>
        </r>
      </text>
    </comment>
    <comment ref="F573" authorId="2" shapeId="0" xr:uid="{99B639A0-A7EA-49A8-B331-CFC6587FA487}">
      <text/>
    </comment>
    <comment ref="F574" authorId="2" shapeId="0" xr:uid="{3C46EA1B-50FD-4CE3-87A3-D50AB04318F7}">
      <text/>
    </comment>
    <comment ref="A576" authorId="2" shapeId="0" xr:uid="{77BB9F6D-9875-4B1C-A1CA-0F7E5846F373}">
      <text>
        <r>
          <rPr>
            <sz val="11"/>
            <color theme="1"/>
            <rFont val="Calibri"/>
            <family val="2"/>
            <scheme val="minor"/>
          </rPr>
          <t>Introduzca un codigo UNSPSC</t>
        </r>
      </text>
    </comment>
    <comment ref="B576" authorId="2" shapeId="0" xr:uid="{A80CEB45-2CD5-4669-8190-0DA8B08D8F3D}">
      <text>
        <r>
          <rPr>
            <sz val="11"/>
            <color theme="1"/>
            <rFont val="Calibri"/>
            <family val="2"/>
            <scheme val="minor"/>
          </rPr>
          <t>Descripción calculada automáticamente a partir de código del artículo</t>
        </r>
      </text>
    </comment>
    <comment ref="C576" authorId="2" shapeId="0" xr:uid="{C696DEB7-F6EE-406E-8FF6-737AF4B8CE2A}">
      <text>
        <r>
          <rPr>
            <sz val="11"/>
            <color theme="1"/>
            <rFont val="Calibri"/>
            <family val="2"/>
            <scheme val="minor"/>
          </rPr>
          <t>Seleccione un valor de la lista</t>
        </r>
      </text>
    </comment>
    <comment ref="D576" authorId="2" shapeId="0" xr:uid="{BE621B69-C241-4D54-9E90-106B45A8F28A}">
      <text>
        <r>
          <rPr>
            <sz val="11"/>
            <color theme="1"/>
            <rFont val="Calibri"/>
            <family val="2"/>
            <scheme val="minor"/>
          </rPr>
          <t>Introduzca un número con dos decimales como máximo. Debe ser igual o mayor a la "Cantidad Real Consumida"</t>
        </r>
      </text>
    </comment>
    <comment ref="E576" authorId="2" shapeId="0" xr:uid="{55E6816D-4F01-4EA4-A47E-BA48823AF2D5}">
      <text>
        <r>
          <rPr>
            <sz val="11"/>
            <color theme="1"/>
            <rFont val="Calibri"/>
            <family val="2"/>
            <scheme val="minor"/>
          </rPr>
          <t>Introduzca un número con dos decimales como máximo</t>
        </r>
      </text>
    </comment>
    <comment ref="F576" authorId="2" shapeId="0" xr:uid="{188E3F8C-509F-435B-A002-21B95F9821BA}">
      <text>
        <r>
          <rPr>
            <sz val="11"/>
            <color theme="1"/>
            <rFont val="Calibri"/>
            <family val="2"/>
            <scheme val="minor"/>
          </rPr>
          <t>Monto calculado automáticamente por el sistema</t>
        </r>
      </text>
    </comment>
    <comment ref="A581" authorId="2" shapeId="0" xr:uid="{7323A0B4-F129-416A-B398-94ACF7398A30}">
      <text>
        <r>
          <rPr>
            <sz val="11"/>
            <color theme="1"/>
            <rFont val="Calibri"/>
            <family val="2"/>
            <scheme val="minor"/>
          </rPr>
          <t>Introducir un texto con el nombre o referencia de la contratación</t>
        </r>
      </text>
    </comment>
    <comment ref="B581" authorId="2" shapeId="0" xr:uid="{284BD627-A646-4880-9FD0-2CD597092439}">
      <text>
        <r>
          <rPr>
            <sz val="11"/>
            <color theme="1"/>
            <rFont val="Calibri"/>
            <family val="2"/>
            <scheme val="minor"/>
          </rPr>
          <t>Introduzca un texto con la finalidad de la contratación</t>
        </r>
      </text>
    </comment>
    <comment ref="C581" authorId="2" shapeId="0" xr:uid="{C7C901B6-CB9F-495F-BACD-65814A745805}">
      <text>
        <r>
          <rPr>
            <sz val="11"/>
            <color theme="1"/>
            <rFont val="Calibri"/>
            <family val="2"/>
            <scheme val="minor"/>
          </rPr>
          <t>Seleccionar un valor del listado</t>
        </r>
      </text>
    </comment>
    <comment ref="D581" authorId="2" shapeId="0" xr:uid="{34EBD3CE-7981-493A-88A1-E3D8B4D61917}">
      <text>
        <r>
          <rPr>
            <sz val="11"/>
            <color theme="1"/>
            <rFont val="Calibri"/>
            <family val="2"/>
            <scheme val="minor"/>
          </rPr>
          <t>Seleccione el tipo de procedimiento</t>
        </r>
      </text>
    </comment>
    <comment ref="E581" authorId="2" shapeId="0" xr:uid="{5E59F49B-F2EE-47CD-ABD9-01D233F3DB53}">
      <text>
        <r>
          <rPr>
            <sz val="11"/>
            <color theme="1"/>
            <rFont val="Calibri"/>
            <family val="2"/>
            <scheme val="minor"/>
          </rPr>
          <t>Seleccione un valor de la lista</t>
        </r>
      </text>
    </comment>
    <comment ref="F581" authorId="2" shapeId="0" xr:uid="{EEAB7F9B-177C-4405-8E9A-8A41D364C71A}">
      <text>
        <r>
          <rPr>
            <sz val="11"/>
            <color theme="1"/>
            <rFont val="Calibri"/>
            <family val="2"/>
            <scheme val="minor"/>
          </rPr>
          <t>Introduzca el código SNIP</t>
        </r>
      </text>
    </comment>
    <comment ref="C582" authorId="2" shapeId="0" xr:uid="{9D07403E-630A-4EE3-B3DE-2D309C98592E}">
      <text>
        <r>
          <rPr>
            <sz val="11"/>
            <color theme="1"/>
            <rFont val="Calibri"/>
            <family val="2"/>
            <scheme val="minor"/>
          </rPr>
          <t>Introduzca la fecha de inicio del proceso, en formato dd-mm-aaaa</t>
        </r>
      </text>
    </comment>
    <comment ref="F582" authorId="2" shapeId="0" xr:uid="{C50D7786-479A-4471-837E-5E48E4D26F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2" shapeId="0" xr:uid="{4C80D375-E0A3-4CA0-A9D1-6B9F5DD37D17}">
      <text/>
    </comment>
    <comment ref="C584" authorId="2" shapeId="0" xr:uid="{CD91C30F-7260-4CC8-8AAA-BC3809590DBE}">
      <text>
        <r>
          <rPr>
            <sz val="11"/>
            <color theme="1"/>
            <rFont val="Calibri"/>
            <family val="2"/>
            <scheme val="minor"/>
          </rPr>
          <t>Introduzca la fecha prevista de adjudicación, en formato dd-mm-aaaa</t>
        </r>
      </text>
    </comment>
    <comment ref="F584" authorId="2" shapeId="0" xr:uid="{358FBFC7-4C2C-409C-92FE-71AA9CE5CA79}">
      <text/>
    </comment>
    <comment ref="F585" authorId="2" shapeId="0" xr:uid="{DECF855A-D77C-4F4E-AEDC-1DCAEBA9F340}">
      <text/>
    </comment>
    <comment ref="A587" authorId="2" shapeId="0" xr:uid="{D2028FFD-04D9-4807-A54B-59D67EDA8B4B}">
      <text>
        <r>
          <rPr>
            <sz val="11"/>
            <color theme="1"/>
            <rFont val="Calibri"/>
            <family val="2"/>
            <scheme val="minor"/>
          </rPr>
          <t>Introduzca un codigo UNSPSC</t>
        </r>
      </text>
    </comment>
    <comment ref="B587" authorId="2" shapeId="0" xr:uid="{0F508D14-0F80-4001-AB4C-84CCC59051E3}">
      <text>
        <r>
          <rPr>
            <sz val="11"/>
            <color theme="1"/>
            <rFont val="Calibri"/>
            <family val="2"/>
            <scheme val="minor"/>
          </rPr>
          <t>Descripción calculada automáticamente a partir de código del artículo</t>
        </r>
      </text>
    </comment>
    <comment ref="C587" authorId="2" shapeId="0" xr:uid="{81157EFD-FF95-4A71-98D0-928449E086FF}">
      <text>
        <r>
          <rPr>
            <sz val="11"/>
            <color theme="1"/>
            <rFont val="Calibri"/>
            <family val="2"/>
            <scheme val="minor"/>
          </rPr>
          <t>Seleccione un valor de la lista</t>
        </r>
      </text>
    </comment>
    <comment ref="D587" authorId="2" shapeId="0" xr:uid="{4F23A641-9761-4428-9042-FAF44EDB18A1}">
      <text>
        <r>
          <rPr>
            <sz val="11"/>
            <color theme="1"/>
            <rFont val="Calibri"/>
            <family val="2"/>
            <scheme val="minor"/>
          </rPr>
          <t>Introduzca un número con dos decimales como máximo. Debe ser igual o mayor a la "Cantidad Real Consumida"</t>
        </r>
      </text>
    </comment>
    <comment ref="E587" authorId="2" shapeId="0" xr:uid="{E35B5FC8-010D-42BD-B860-BBC04DFF7476}">
      <text>
        <r>
          <rPr>
            <sz val="11"/>
            <color theme="1"/>
            <rFont val="Calibri"/>
            <family val="2"/>
            <scheme val="minor"/>
          </rPr>
          <t>Introduzca un número con dos decimales como máximo</t>
        </r>
      </text>
    </comment>
    <comment ref="F587" authorId="2" shapeId="0" xr:uid="{6740D82B-FBAB-40FC-A6E4-5B4713BE3443}">
      <text>
        <r>
          <rPr>
            <sz val="11"/>
            <color theme="1"/>
            <rFont val="Calibri"/>
            <family val="2"/>
            <scheme val="minor"/>
          </rPr>
          <t>Monto calculado automáticamente por el sistema</t>
        </r>
      </text>
    </comment>
    <comment ref="A592" authorId="2" shapeId="0" xr:uid="{AC513C59-9D0D-41C8-B407-1E1CD6B4EFF3}">
      <text>
        <r>
          <rPr>
            <sz val="11"/>
            <color theme="1"/>
            <rFont val="Calibri"/>
            <family val="2"/>
            <scheme val="minor"/>
          </rPr>
          <t>Introducir un texto con el nombre o referencia de la contratación</t>
        </r>
      </text>
    </comment>
    <comment ref="B592" authorId="2" shapeId="0" xr:uid="{95DC9429-FB04-4498-927B-28C80D776831}">
      <text>
        <r>
          <rPr>
            <sz val="11"/>
            <color theme="1"/>
            <rFont val="Calibri"/>
            <family val="2"/>
            <scheme val="minor"/>
          </rPr>
          <t>Introduzca un texto con la finalidad de la contratación</t>
        </r>
      </text>
    </comment>
    <comment ref="C592" authorId="2" shapeId="0" xr:uid="{C40F5C79-19E2-4410-97D2-63A0361D06B0}">
      <text>
        <r>
          <rPr>
            <sz val="11"/>
            <color theme="1"/>
            <rFont val="Calibri"/>
            <family val="2"/>
            <scheme val="minor"/>
          </rPr>
          <t>Seleccionar un valor del listado</t>
        </r>
      </text>
    </comment>
    <comment ref="D592" authorId="2" shapeId="0" xr:uid="{8FADAD17-7085-4342-B161-3F5072644B12}">
      <text>
        <r>
          <rPr>
            <sz val="11"/>
            <color theme="1"/>
            <rFont val="Calibri"/>
            <family val="2"/>
            <scheme val="minor"/>
          </rPr>
          <t>Seleccione el tipo de procedimiento</t>
        </r>
      </text>
    </comment>
    <comment ref="E592" authorId="2" shapeId="0" xr:uid="{CFDCBD73-C80A-44F6-8C2C-8D880F322314}">
      <text>
        <r>
          <rPr>
            <sz val="11"/>
            <color theme="1"/>
            <rFont val="Calibri"/>
            <family val="2"/>
            <scheme val="minor"/>
          </rPr>
          <t>Seleccione un valor de la lista</t>
        </r>
      </text>
    </comment>
    <comment ref="F592" authorId="2" shapeId="0" xr:uid="{281975FD-3B64-42C9-AE3B-6D878026F1C4}">
      <text>
        <r>
          <rPr>
            <sz val="11"/>
            <color theme="1"/>
            <rFont val="Calibri"/>
            <family val="2"/>
            <scheme val="minor"/>
          </rPr>
          <t>Introduzca el código SNIP</t>
        </r>
      </text>
    </comment>
    <comment ref="C593" authorId="2" shapeId="0" xr:uid="{328228EB-97C5-4990-8C90-E3D257BEEADF}">
      <text>
        <r>
          <rPr>
            <sz val="11"/>
            <color theme="1"/>
            <rFont val="Calibri"/>
            <family val="2"/>
            <scheme val="minor"/>
          </rPr>
          <t>Introduzca la fecha de inicio del proceso, en formato dd-mm-aaaa</t>
        </r>
      </text>
    </comment>
    <comment ref="F593" authorId="2" shapeId="0" xr:uid="{6AF2576A-2C3F-4CD9-AEB1-30A8D28A93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2" shapeId="0" xr:uid="{60DCA046-624B-4BB1-9A17-0EC3A4D7FEFB}">
      <text/>
    </comment>
    <comment ref="C595" authorId="2" shapeId="0" xr:uid="{78A633EF-62FC-4080-873D-BB63D0F6258F}">
      <text>
        <r>
          <rPr>
            <sz val="11"/>
            <color theme="1"/>
            <rFont val="Calibri"/>
            <family val="2"/>
            <scheme val="minor"/>
          </rPr>
          <t>Introduzca la fecha prevista de adjudicación, en formato dd-mm-aaaa</t>
        </r>
      </text>
    </comment>
    <comment ref="F595" authorId="2" shapeId="0" xr:uid="{5A54584D-0345-45E4-9915-60294FD59E51}">
      <text/>
    </comment>
    <comment ref="F596" authorId="2" shapeId="0" xr:uid="{ED4639A1-53AA-432D-A9DF-AD92024237DD}">
      <text/>
    </comment>
    <comment ref="A598" authorId="2" shapeId="0" xr:uid="{5A5EAF29-A551-477C-B917-E6DCACD50364}">
      <text>
        <r>
          <rPr>
            <sz val="11"/>
            <color theme="1"/>
            <rFont val="Calibri"/>
            <family val="2"/>
            <scheme val="minor"/>
          </rPr>
          <t>Introduzca un codigo UNSPSC</t>
        </r>
      </text>
    </comment>
    <comment ref="B598" authorId="2" shapeId="0" xr:uid="{E8B90413-7811-4877-B7AC-5FD362FF63BE}">
      <text>
        <r>
          <rPr>
            <sz val="11"/>
            <color theme="1"/>
            <rFont val="Calibri"/>
            <family val="2"/>
            <scheme val="minor"/>
          </rPr>
          <t>Descripción calculada automáticamente a partir de código del artículo</t>
        </r>
      </text>
    </comment>
    <comment ref="C598" authorId="2" shapeId="0" xr:uid="{9DF5B9EF-776B-48F1-923A-692533EC0C76}">
      <text>
        <r>
          <rPr>
            <sz val="11"/>
            <color theme="1"/>
            <rFont val="Calibri"/>
            <family val="2"/>
            <scheme val="minor"/>
          </rPr>
          <t>Seleccione un valor de la lista</t>
        </r>
      </text>
    </comment>
    <comment ref="D598" authorId="2" shapeId="0" xr:uid="{D6F1246B-D903-497E-98A8-08DDDCB062F8}">
      <text>
        <r>
          <rPr>
            <sz val="11"/>
            <color theme="1"/>
            <rFont val="Calibri"/>
            <family val="2"/>
            <scheme val="minor"/>
          </rPr>
          <t>Introduzca un número con dos decimales como máximo. Debe ser igual o mayor a la "Cantidad Real Consumida"</t>
        </r>
      </text>
    </comment>
    <comment ref="E598" authorId="2" shapeId="0" xr:uid="{93925F46-8065-4848-A678-95F6827824E3}">
      <text>
        <r>
          <rPr>
            <sz val="11"/>
            <color theme="1"/>
            <rFont val="Calibri"/>
            <family val="2"/>
            <scheme val="minor"/>
          </rPr>
          <t>Introduzca un número con dos decimales como máximo</t>
        </r>
      </text>
    </comment>
    <comment ref="F598" authorId="2" shapeId="0" xr:uid="{158664F8-5FF4-4DEE-8082-BD84A207A899}">
      <text>
        <r>
          <rPr>
            <sz val="11"/>
            <color theme="1"/>
            <rFont val="Calibri"/>
            <family val="2"/>
            <scheme val="minor"/>
          </rPr>
          <t>Monto calculado automáticamente por el sistema</t>
        </r>
      </text>
    </comment>
    <comment ref="A604" authorId="2" shapeId="0" xr:uid="{EC7077E8-4CDD-4C6A-82C2-E9D01450F0CA}">
      <text>
        <r>
          <rPr>
            <sz val="11"/>
            <color theme="1"/>
            <rFont val="Calibri"/>
            <family val="2"/>
            <scheme val="minor"/>
          </rPr>
          <t>Introducir un texto con el nombre o referencia de la contratación</t>
        </r>
      </text>
    </comment>
    <comment ref="B604" authorId="2" shapeId="0" xr:uid="{902F38BF-35F3-4A3E-ACDC-673AD743DF26}">
      <text>
        <r>
          <rPr>
            <sz val="11"/>
            <color theme="1"/>
            <rFont val="Calibri"/>
            <family val="2"/>
            <scheme val="minor"/>
          </rPr>
          <t>Introduzca un texto con la finalidad de la contratación</t>
        </r>
      </text>
    </comment>
    <comment ref="C604" authorId="2" shapeId="0" xr:uid="{DA8C3D64-F88A-4DA5-B161-1A268F5E3C53}">
      <text>
        <r>
          <rPr>
            <sz val="11"/>
            <color theme="1"/>
            <rFont val="Calibri"/>
            <family val="2"/>
            <scheme val="minor"/>
          </rPr>
          <t>Seleccionar un valor del listado</t>
        </r>
      </text>
    </comment>
    <comment ref="D604" authorId="2" shapeId="0" xr:uid="{6CA5050F-E4F3-4FEB-98BE-4FE22F96999E}">
      <text>
        <r>
          <rPr>
            <sz val="11"/>
            <color theme="1"/>
            <rFont val="Calibri"/>
            <family val="2"/>
            <scheme val="minor"/>
          </rPr>
          <t>Seleccione el tipo de procedimiento</t>
        </r>
      </text>
    </comment>
    <comment ref="E604" authorId="2" shapeId="0" xr:uid="{A1441ACD-E816-409B-9158-3D6A8C23AC3D}">
      <text>
        <r>
          <rPr>
            <sz val="11"/>
            <color theme="1"/>
            <rFont val="Calibri"/>
            <family val="2"/>
            <scheme val="minor"/>
          </rPr>
          <t>Seleccione un valor de la lista</t>
        </r>
      </text>
    </comment>
    <comment ref="F604" authorId="2" shapeId="0" xr:uid="{B87D0A7A-1B90-4541-8FE1-3D53D21B96EF}">
      <text>
        <r>
          <rPr>
            <sz val="11"/>
            <color theme="1"/>
            <rFont val="Calibri"/>
            <family val="2"/>
            <scheme val="minor"/>
          </rPr>
          <t>Introduzca el código SNIP</t>
        </r>
      </text>
    </comment>
    <comment ref="C605" authorId="2" shapeId="0" xr:uid="{61988ED7-F353-42D2-9C08-DE9B86C62DEE}">
      <text>
        <r>
          <rPr>
            <sz val="11"/>
            <color theme="1"/>
            <rFont val="Calibri"/>
            <family val="2"/>
            <scheme val="minor"/>
          </rPr>
          <t>Introduzca la fecha de inicio del proceso, en formato dd-mm-aaaa</t>
        </r>
      </text>
    </comment>
    <comment ref="F605" authorId="2" shapeId="0" xr:uid="{DF3FDA7A-A114-410A-A1D3-80EB84F546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2FB2B39D-6F89-48DC-8063-475B45C1FE37}">
      <text/>
    </comment>
    <comment ref="C607" authorId="2" shapeId="0" xr:uid="{8D2B25CC-DFCE-4385-95E6-F3B9CA5C5D55}">
      <text>
        <r>
          <rPr>
            <sz val="11"/>
            <color theme="1"/>
            <rFont val="Calibri"/>
            <family val="2"/>
            <scheme val="minor"/>
          </rPr>
          <t>Introduzca la fecha prevista de adjudicación, en formato dd-mm-aaaa</t>
        </r>
      </text>
    </comment>
    <comment ref="F607" authorId="2" shapeId="0" xr:uid="{46802F3E-AF89-40E0-B993-D90AD270E90A}">
      <text/>
    </comment>
    <comment ref="F608" authorId="2" shapeId="0" xr:uid="{7A294F65-D93A-432F-8461-BBC69A1322F5}">
      <text/>
    </comment>
    <comment ref="A610" authorId="2" shapeId="0" xr:uid="{FC7F5736-2002-4D05-9345-4F42F1AA1FD5}">
      <text>
        <r>
          <rPr>
            <sz val="11"/>
            <color theme="1"/>
            <rFont val="Calibri"/>
            <family val="2"/>
            <scheme val="minor"/>
          </rPr>
          <t>Introduzca un codigo UNSPSC</t>
        </r>
      </text>
    </comment>
    <comment ref="B610" authorId="2" shapeId="0" xr:uid="{999ECB00-9F4B-467E-8673-DEE67FDCDE6E}">
      <text>
        <r>
          <rPr>
            <sz val="11"/>
            <color theme="1"/>
            <rFont val="Calibri"/>
            <family val="2"/>
            <scheme val="minor"/>
          </rPr>
          <t>Descripción calculada automáticamente a partir de código del artículo</t>
        </r>
      </text>
    </comment>
    <comment ref="C610" authorId="2" shapeId="0" xr:uid="{E1289805-2C7A-46B4-890F-717EF5FF0C8F}">
      <text>
        <r>
          <rPr>
            <sz val="11"/>
            <color theme="1"/>
            <rFont val="Calibri"/>
            <family val="2"/>
            <scheme val="minor"/>
          </rPr>
          <t>Seleccione un valor de la lista</t>
        </r>
      </text>
    </comment>
    <comment ref="D610" authorId="2" shapeId="0" xr:uid="{E0F6313C-F606-468F-9FB3-3583D0766207}">
      <text>
        <r>
          <rPr>
            <sz val="11"/>
            <color theme="1"/>
            <rFont val="Calibri"/>
            <family val="2"/>
            <scheme val="minor"/>
          </rPr>
          <t>Introduzca un número con dos decimales como máximo. Debe ser igual o mayor a la "Cantidad Real Consumida"</t>
        </r>
      </text>
    </comment>
    <comment ref="E610" authorId="2" shapeId="0" xr:uid="{CDD74069-9B0F-4DA9-9842-B75D0537E9AB}">
      <text>
        <r>
          <rPr>
            <sz val="11"/>
            <color theme="1"/>
            <rFont val="Calibri"/>
            <family val="2"/>
            <scheme val="minor"/>
          </rPr>
          <t>Introduzca un número con dos decimales como máximo</t>
        </r>
      </text>
    </comment>
    <comment ref="F610" authorId="2" shapeId="0" xr:uid="{39FE9A55-43C1-460B-B4CA-3DFF690873CD}">
      <text>
        <r>
          <rPr>
            <sz val="11"/>
            <color theme="1"/>
            <rFont val="Calibri"/>
            <family val="2"/>
            <scheme val="minor"/>
          </rPr>
          <t>Monto calculado automáticamente por el sistema</t>
        </r>
      </text>
    </comment>
    <comment ref="A616" authorId="2" shapeId="0" xr:uid="{33281912-0B2B-46C4-BC25-4B8573C99815}">
      <text>
        <r>
          <rPr>
            <sz val="11"/>
            <color theme="1"/>
            <rFont val="Calibri"/>
            <family val="2"/>
            <scheme val="minor"/>
          </rPr>
          <t>Introducir un texto con el nombre o referencia de la contratación</t>
        </r>
      </text>
    </comment>
    <comment ref="B616" authorId="2" shapeId="0" xr:uid="{703E0F25-FCA1-4921-876C-56EEABC44A7D}">
      <text>
        <r>
          <rPr>
            <sz val="11"/>
            <color theme="1"/>
            <rFont val="Calibri"/>
            <family val="2"/>
            <scheme val="minor"/>
          </rPr>
          <t>Introduzca un texto con la finalidad de la contratación</t>
        </r>
      </text>
    </comment>
    <comment ref="C616" authorId="2" shapeId="0" xr:uid="{C59AAB01-1D86-4D8F-9D65-F82C0EEA0017}">
      <text>
        <r>
          <rPr>
            <sz val="11"/>
            <color theme="1"/>
            <rFont val="Calibri"/>
            <family val="2"/>
            <scheme val="minor"/>
          </rPr>
          <t>Seleccionar un valor del listado</t>
        </r>
      </text>
    </comment>
    <comment ref="D616" authorId="2" shapeId="0" xr:uid="{7CBC8FA2-7B2A-4D3F-9132-F6B7456F9EF0}">
      <text>
        <r>
          <rPr>
            <sz val="11"/>
            <color theme="1"/>
            <rFont val="Calibri"/>
            <family val="2"/>
            <scheme val="minor"/>
          </rPr>
          <t>Seleccione el tipo de procedimiento</t>
        </r>
      </text>
    </comment>
    <comment ref="E616" authorId="2" shapeId="0" xr:uid="{A12CB5EB-C9FB-44B9-AD90-B6C1AD6AECE4}">
      <text>
        <r>
          <rPr>
            <sz val="11"/>
            <color theme="1"/>
            <rFont val="Calibri"/>
            <family val="2"/>
            <scheme val="minor"/>
          </rPr>
          <t>Seleccione un valor de la lista</t>
        </r>
      </text>
    </comment>
    <comment ref="F616" authorId="2" shapeId="0" xr:uid="{60C85260-E6FB-4254-A5A2-79B4E1200B45}">
      <text>
        <r>
          <rPr>
            <sz val="11"/>
            <color theme="1"/>
            <rFont val="Calibri"/>
            <family val="2"/>
            <scheme val="minor"/>
          </rPr>
          <t>Introduzca el código SNIP</t>
        </r>
      </text>
    </comment>
    <comment ref="C617" authorId="2" shapeId="0" xr:uid="{B8288B67-E357-4109-A095-E0C410C119CF}">
      <text>
        <r>
          <rPr>
            <sz val="11"/>
            <color theme="1"/>
            <rFont val="Calibri"/>
            <family val="2"/>
            <scheme val="minor"/>
          </rPr>
          <t>Introduzca la fecha de inicio del proceso, en formato dd-mm-aaaa</t>
        </r>
      </text>
    </comment>
    <comment ref="F617" authorId="2" shapeId="0" xr:uid="{09078090-3944-418C-A308-984851DA0B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2" shapeId="0" xr:uid="{9C555AF2-569A-4248-AEBB-92393FA5417C}">
      <text/>
    </comment>
    <comment ref="C619" authorId="2" shapeId="0" xr:uid="{13A1B7A7-6E77-415D-969D-708B729DE44D}">
      <text>
        <r>
          <rPr>
            <sz val="11"/>
            <color theme="1"/>
            <rFont val="Calibri"/>
            <family val="2"/>
            <scheme val="minor"/>
          </rPr>
          <t>Introduzca la fecha prevista de adjudicación, en formato dd-mm-aaaa</t>
        </r>
      </text>
    </comment>
    <comment ref="F619" authorId="2" shapeId="0" xr:uid="{5E839262-CF78-4150-BE96-40750B65FEB0}">
      <text/>
    </comment>
    <comment ref="F620" authorId="2" shapeId="0" xr:uid="{AC1EDBD1-BDD0-4678-BEB0-06C38425A9CE}">
      <text/>
    </comment>
    <comment ref="A622" authorId="2" shapeId="0" xr:uid="{450EF0FD-3B43-4BC7-919B-A8D9797A31FB}">
      <text>
        <r>
          <rPr>
            <sz val="11"/>
            <color theme="1"/>
            <rFont val="Calibri"/>
            <family val="2"/>
            <scheme val="minor"/>
          </rPr>
          <t>Introduzca un codigo UNSPSC</t>
        </r>
      </text>
    </comment>
    <comment ref="B622" authorId="2" shapeId="0" xr:uid="{DA21489C-216A-4923-B6E5-A763A69FED9E}">
      <text>
        <r>
          <rPr>
            <sz val="11"/>
            <color theme="1"/>
            <rFont val="Calibri"/>
            <family val="2"/>
            <scheme val="minor"/>
          </rPr>
          <t>Descripción calculada automáticamente a partir de código del artículo</t>
        </r>
      </text>
    </comment>
    <comment ref="C622" authorId="2" shapeId="0" xr:uid="{8BD5C053-63E2-4BC0-AABA-127CFE2BA3E9}">
      <text>
        <r>
          <rPr>
            <sz val="11"/>
            <color theme="1"/>
            <rFont val="Calibri"/>
            <family val="2"/>
            <scheme val="minor"/>
          </rPr>
          <t>Seleccione un valor de la lista</t>
        </r>
      </text>
    </comment>
    <comment ref="D622" authorId="2" shapeId="0" xr:uid="{04383942-7970-42D9-BD6F-724639740F41}">
      <text>
        <r>
          <rPr>
            <sz val="11"/>
            <color theme="1"/>
            <rFont val="Calibri"/>
            <family val="2"/>
            <scheme val="minor"/>
          </rPr>
          <t>Introduzca un número con dos decimales como máximo. Debe ser igual o mayor a la "Cantidad Real Consumida"</t>
        </r>
      </text>
    </comment>
    <comment ref="E622" authorId="2" shapeId="0" xr:uid="{330DE558-B817-4FD4-BEDE-62F2E1F5F29F}">
      <text>
        <r>
          <rPr>
            <sz val="11"/>
            <color theme="1"/>
            <rFont val="Calibri"/>
            <family val="2"/>
            <scheme val="minor"/>
          </rPr>
          <t>Introduzca un número con dos decimales como máximo</t>
        </r>
      </text>
    </comment>
    <comment ref="F622" authorId="2" shapeId="0" xr:uid="{1C7A1FF8-E760-40E3-9D23-2B37F0641FD0}">
      <text>
        <r>
          <rPr>
            <sz val="11"/>
            <color theme="1"/>
            <rFont val="Calibri"/>
            <family val="2"/>
            <scheme val="minor"/>
          </rPr>
          <t>Monto calculado automáticamente por el sistema</t>
        </r>
      </text>
    </comment>
    <comment ref="A628" authorId="2" shapeId="0" xr:uid="{088EFF83-B25F-45F4-9C99-7AD675674958}">
      <text>
        <r>
          <rPr>
            <sz val="11"/>
            <color theme="1"/>
            <rFont val="Calibri"/>
            <family val="2"/>
            <scheme val="minor"/>
          </rPr>
          <t>Introducir un texto con el nombre o referencia de la contratación</t>
        </r>
      </text>
    </comment>
    <comment ref="B628" authorId="2" shapeId="0" xr:uid="{CC10BE37-B42E-4E08-A953-4B8F585355AC}">
      <text>
        <r>
          <rPr>
            <sz val="11"/>
            <color theme="1"/>
            <rFont val="Calibri"/>
            <family val="2"/>
            <scheme val="minor"/>
          </rPr>
          <t>Introduzca un texto con la finalidad de la contratación</t>
        </r>
      </text>
    </comment>
    <comment ref="C628" authorId="2" shapeId="0" xr:uid="{0814B4AF-59BC-48CD-952E-D78FE4A395C9}">
      <text>
        <r>
          <rPr>
            <sz val="11"/>
            <color theme="1"/>
            <rFont val="Calibri"/>
            <family val="2"/>
            <scheme val="minor"/>
          </rPr>
          <t>Seleccionar un valor del listado</t>
        </r>
      </text>
    </comment>
    <comment ref="D628" authorId="2" shapeId="0" xr:uid="{D4124DBC-8E6D-4398-9F4B-281424E14528}">
      <text>
        <r>
          <rPr>
            <sz val="11"/>
            <color theme="1"/>
            <rFont val="Calibri"/>
            <family val="2"/>
            <scheme val="minor"/>
          </rPr>
          <t>Seleccione el tipo de procedimiento</t>
        </r>
      </text>
    </comment>
    <comment ref="E628" authorId="2" shapeId="0" xr:uid="{B7EDC42E-2AA7-4C6B-ADFC-56917C22AE61}">
      <text>
        <r>
          <rPr>
            <sz val="11"/>
            <color theme="1"/>
            <rFont val="Calibri"/>
            <family val="2"/>
            <scheme val="minor"/>
          </rPr>
          <t>Seleccione un valor de la lista</t>
        </r>
      </text>
    </comment>
    <comment ref="F628" authorId="2" shapeId="0" xr:uid="{FA3DDE5F-69D0-4430-83E0-973BCCDA589E}">
      <text>
        <r>
          <rPr>
            <sz val="11"/>
            <color theme="1"/>
            <rFont val="Calibri"/>
            <family val="2"/>
            <scheme val="minor"/>
          </rPr>
          <t>Introduzca el código SNIP</t>
        </r>
      </text>
    </comment>
    <comment ref="C629" authorId="2" shapeId="0" xr:uid="{54BD1EBB-A062-4EDB-A86C-CC65AD5F01AD}">
      <text>
        <r>
          <rPr>
            <sz val="11"/>
            <color theme="1"/>
            <rFont val="Calibri"/>
            <family val="2"/>
            <scheme val="minor"/>
          </rPr>
          <t>Introduzca la fecha de inicio del proceso, en formato dd-mm-aaaa</t>
        </r>
      </text>
    </comment>
    <comment ref="F629" authorId="2" shapeId="0" xr:uid="{81243D14-2E77-4D2B-A317-029B0318B7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2" shapeId="0" xr:uid="{50575AFA-3EAA-44EA-956A-3F9603546F70}">
      <text/>
    </comment>
    <comment ref="C631" authorId="2" shapeId="0" xr:uid="{7A214159-7295-4F19-B755-6DEC2DDBF63F}">
      <text>
        <r>
          <rPr>
            <sz val="11"/>
            <color theme="1"/>
            <rFont val="Calibri"/>
            <family val="2"/>
            <scheme val="minor"/>
          </rPr>
          <t>Introduzca la fecha prevista de adjudicación, en formato dd-mm-aaaa</t>
        </r>
      </text>
    </comment>
    <comment ref="F631" authorId="2" shapeId="0" xr:uid="{FE8C0253-0576-4BFF-8730-8B335484A795}">
      <text/>
    </comment>
    <comment ref="F632" authorId="2" shapeId="0" xr:uid="{9076B7C6-3745-4804-A897-9A2B673BDBD7}">
      <text/>
    </comment>
    <comment ref="A634" authorId="2" shapeId="0" xr:uid="{6E521ABA-FFDF-4EFE-99C5-BA4B1C817511}">
      <text>
        <r>
          <rPr>
            <sz val="11"/>
            <color theme="1"/>
            <rFont val="Calibri"/>
            <family val="2"/>
            <scheme val="minor"/>
          </rPr>
          <t>Introduzca un codigo UNSPSC</t>
        </r>
      </text>
    </comment>
    <comment ref="B634" authorId="2" shapeId="0" xr:uid="{5698953F-0C21-4CB9-A151-F86D390DE85F}">
      <text>
        <r>
          <rPr>
            <sz val="11"/>
            <color theme="1"/>
            <rFont val="Calibri"/>
            <family val="2"/>
            <scheme val="minor"/>
          </rPr>
          <t>Descripción calculada automáticamente a partir de código del artículo</t>
        </r>
      </text>
    </comment>
    <comment ref="C634" authorId="2" shapeId="0" xr:uid="{B95646F6-1C07-44E2-95A8-EC006902F3A9}">
      <text>
        <r>
          <rPr>
            <sz val="11"/>
            <color theme="1"/>
            <rFont val="Calibri"/>
            <family val="2"/>
            <scheme val="minor"/>
          </rPr>
          <t>Seleccione un valor de la lista</t>
        </r>
      </text>
    </comment>
    <comment ref="D634" authorId="2" shapeId="0" xr:uid="{2C65E78A-5727-4470-902E-523D76BFC961}">
      <text>
        <r>
          <rPr>
            <sz val="11"/>
            <color theme="1"/>
            <rFont val="Calibri"/>
            <family val="2"/>
            <scheme val="minor"/>
          </rPr>
          <t>Introduzca un número con dos decimales como máximo. Debe ser igual o mayor a la "Cantidad Real Consumida"</t>
        </r>
      </text>
    </comment>
    <comment ref="E634" authorId="2" shapeId="0" xr:uid="{419F6297-0CCF-4BA0-BBC5-91D56817C01E}">
      <text>
        <r>
          <rPr>
            <sz val="11"/>
            <color theme="1"/>
            <rFont val="Calibri"/>
            <family val="2"/>
            <scheme val="minor"/>
          </rPr>
          <t>Introduzca un número con dos decimales como máximo</t>
        </r>
      </text>
    </comment>
    <comment ref="F634" authorId="2" shapeId="0" xr:uid="{2D7F67CF-D459-455C-932F-E18A7E8437BC}">
      <text>
        <r>
          <rPr>
            <sz val="11"/>
            <color theme="1"/>
            <rFont val="Calibri"/>
            <family val="2"/>
            <scheme val="minor"/>
          </rPr>
          <t>Monto calculado automáticamente por el sistema</t>
        </r>
      </text>
    </comment>
    <comment ref="A640" authorId="2" shapeId="0" xr:uid="{72904F7E-24CB-406D-9C55-66462AEDBE67}">
      <text>
        <r>
          <rPr>
            <sz val="11"/>
            <color theme="1"/>
            <rFont val="Calibri"/>
            <family val="2"/>
            <scheme val="minor"/>
          </rPr>
          <t>Introducir un texto con el nombre o referencia de la contratación</t>
        </r>
      </text>
    </comment>
    <comment ref="B640" authorId="2" shapeId="0" xr:uid="{641D0878-F101-4973-8AF1-10619306E44E}">
      <text>
        <r>
          <rPr>
            <sz val="11"/>
            <color theme="1"/>
            <rFont val="Calibri"/>
            <family val="2"/>
            <scheme val="minor"/>
          </rPr>
          <t>Introduzca un texto con la finalidad de la contratación</t>
        </r>
      </text>
    </comment>
    <comment ref="C640" authorId="2" shapeId="0" xr:uid="{4D7A3FD2-78BF-4F4F-89E4-3CE82A138DB8}">
      <text>
        <r>
          <rPr>
            <sz val="11"/>
            <color theme="1"/>
            <rFont val="Calibri"/>
            <family val="2"/>
            <scheme val="minor"/>
          </rPr>
          <t>Seleccionar un valor del listado</t>
        </r>
      </text>
    </comment>
    <comment ref="D640" authorId="2" shapeId="0" xr:uid="{99D97185-9911-47D1-90B9-C42766718F05}">
      <text>
        <r>
          <rPr>
            <sz val="11"/>
            <color theme="1"/>
            <rFont val="Calibri"/>
            <family val="2"/>
            <scheme val="minor"/>
          </rPr>
          <t>Seleccione el tipo de procedimiento</t>
        </r>
      </text>
    </comment>
    <comment ref="E640" authorId="2" shapeId="0" xr:uid="{B27CC307-62C1-4084-9A6E-F43CB65A7CCC}">
      <text>
        <r>
          <rPr>
            <sz val="11"/>
            <color theme="1"/>
            <rFont val="Calibri"/>
            <family val="2"/>
            <scheme val="minor"/>
          </rPr>
          <t>Seleccione un valor de la lista</t>
        </r>
      </text>
    </comment>
    <comment ref="F640" authorId="2" shapeId="0" xr:uid="{8AE76E9D-23F1-4D09-B379-E760270A2840}">
      <text>
        <r>
          <rPr>
            <sz val="11"/>
            <color theme="1"/>
            <rFont val="Calibri"/>
            <family val="2"/>
            <scheme val="minor"/>
          </rPr>
          <t>Introduzca el código SNIP</t>
        </r>
      </text>
    </comment>
    <comment ref="C641" authorId="2" shapeId="0" xr:uid="{823207A6-93CB-4983-823D-B7DE947AD311}">
      <text>
        <r>
          <rPr>
            <sz val="11"/>
            <color theme="1"/>
            <rFont val="Calibri"/>
            <family val="2"/>
            <scheme val="minor"/>
          </rPr>
          <t>Introduzca la fecha de inicio del proceso, en formato dd-mm-aaaa</t>
        </r>
      </text>
    </comment>
    <comment ref="F641" authorId="2" shapeId="0" xr:uid="{D8116A0D-0829-4A3E-9A8D-043AE9A643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2" shapeId="0" xr:uid="{5FD494B8-3240-4A90-8B1B-DD88AD304139}">
      <text/>
    </comment>
    <comment ref="C643" authorId="2" shapeId="0" xr:uid="{301DA300-FE9D-43DA-86AD-6010E7128BDE}">
      <text>
        <r>
          <rPr>
            <sz val="11"/>
            <color theme="1"/>
            <rFont val="Calibri"/>
            <family val="2"/>
            <scheme val="minor"/>
          </rPr>
          <t>Introduzca la fecha prevista de adjudicación, en formato dd-mm-aaaa</t>
        </r>
      </text>
    </comment>
    <comment ref="F643" authorId="2" shapeId="0" xr:uid="{C4210709-0119-4A53-B4A8-24BB67561F28}">
      <text/>
    </comment>
    <comment ref="F644" authorId="2" shapeId="0" xr:uid="{37B3A333-B9BD-4346-A6BC-815BDC25228D}">
      <text/>
    </comment>
    <comment ref="A646" authorId="2" shapeId="0" xr:uid="{5DBE98DA-69B1-474C-870C-B7DE0FC2D41B}">
      <text>
        <r>
          <rPr>
            <sz val="11"/>
            <color theme="1"/>
            <rFont val="Calibri"/>
            <family val="2"/>
            <scheme val="minor"/>
          </rPr>
          <t>Introduzca un codigo UNSPSC</t>
        </r>
      </text>
    </comment>
    <comment ref="B646" authorId="2" shapeId="0" xr:uid="{6C616898-6E4D-422C-98C1-19939971E9E2}">
      <text>
        <r>
          <rPr>
            <sz val="11"/>
            <color theme="1"/>
            <rFont val="Calibri"/>
            <family val="2"/>
            <scheme val="minor"/>
          </rPr>
          <t>Descripción calculada automáticamente a partir de código del artículo</t>
        </r>
      </text>
    </comment>
    <comment ref="C646" authorId="2" shapeId="0" xr:uid="{1CAD83C9-3A4E-456D-A4D4-8EFB6323398B}">
      <text>
        <r>
          <rPr>
            <sz val="11"/>
            <color theme="1"/>
            <rFont val="Calibri"/>
            <family val="2"/>
            <scheme val="minor"/>
          </rPr>
          <t>Seleccione un valor de la lista</t>
        </r>
      </text>
    </comment>
    <comment ref="D646" authorId="2" shapeId="0" xr:uid="{E550D2E8-AA15-4BBA-BBB5-6B335F54A44E}">
      <text>
        <r>
          <rPr>
            <sz val="11"/>
            <color theme="1"/>
            <rFont val="Calibri"/>
            <family val="2"/>
            <scheme val="minor"/>
          </rPr>
          <t>Introduzca un número con dos decimales como máximo. Debe ser igual o mayor a la "Cantidad Real Consumida"</t>
        </r>
      </text>
    </comment>
    <comment ref="E646" authorId="2" shapeId="0" xr:uid="{D496871E-8174-4880-8C47-80BBEF34F82D}">
      <text>
        <r>
          <rPr>
            <sz val="11"/>
            <color theme="1"/>
            <rFont val="Calibri"/>
            <family val="2"/>
            <scheme val="minor"/>
          </rPr>
          <t>Introduzca un número con dos decimales como máximo</t>
        </r>
      </text>
    </comment>
    <comment ref="F646" authorId="2" shapeId="0" xr:uid="{D4E116B5-A122-40E5-9EB7-623E157E0675}">
      <text>
        <r>
          <rPr>
            <sz val="11"/>
            <color theme="1"/>
            <rFont val="Calibri"/>
            <family val="2"/>
            <scheme val="minor"/>
          </rPr>
          <t>Monto calculado automáticamente por el sistema</t>
        </r>
      </text>
    </comment>
    <comment ref="A651" authorId="2" shapeId="0" xr:uid="{8765A79C-871C-4690-934E-FDD5580AB6AD}">
      <text>
        <r>
          <rPr>
            <sz val="11"/>
            <color theme="1"/>
            <rFont val="Calibri"/>
            <family val="2"/>
            <scheme val="minor"/>
          </rPr>
          <t>Introducir un texto con el nombre o referencia de la contratación</t>
        </r>
      </text>
    </comment>
    <comment ref="B651" authorId="2" shapeId="0" xr:uid="{07007CEC-F05D-41EB-A228-12B71B793873}">
      <text>
        <r>
          <rPr>
            <sz val="11"/>
            <color theme="1"/>
            <rFont val="Calibri"/>
            <family val="2"/>
            <scheme val="minor"/>
          </rPr>
          <t>Introduzca un texto con la finalidad de la contratación</t>
        </r>
      </text>
    </comment>
    <comment ref="C651" authorId="2" shapeId="0" xr:uid="{D4278586-FED8-4273-BFAD-C730473511E3}">
      <text>
        <r>
          <rPr>
            <sz val="11"/>
            <color theme="1"/>
            <rFont val="Calibri"/>
            <family val="2"/>
            <scheme val="minor"/>
          </rPr>
          <t>Seleccionar un valor del listado</t>
        </r>
      </text>
    </comment>
    <comment ref="D651" authorId="2" shapeId="0" xr:uid="{FAF13BA7-25C0-42AF-9B3A-71A47B80AA58}">
      <text>
        <r>
          <rPr>
            <sz val="11"/>
            <color theme="1"/>
            <rFont val="Calibri"/>
            <family val="2"/>
            <scheme val="minor"/>
          </rPr>
          <t>Seleccione el tipo de procedimiento</t>
        </r>
      </text>
    </comment>
    <comment ref="E651" authorId="2" shapeId="0" xr:uid="{E913F05D-FC6A-4D04-A4C8-F4C5BC497508}">
      <text>
        <r>
          <rPr>
            <sz val="11"/>
            <color theme="1"/>
            <rFont val="Calibri"/>
            <family val="2"/>
            <scheme val="minor"/>
          </rPr>
          <t>Seleccione un valor de la lista</t>
        </r>
      </text>
    </comment>
    <comment ref="F651" authorId="2" shapeId="0" xr:uid="{C5D17C52-50B0-4C4D-A494-B35B7E1EEED3}">
      <text>
        <r>
          <rPr>
            <sz val="11"/>
            <color theme="1"/>
            <rFont val="Calibri"/>
            <family val="2"/>
            <scheme val="minor"/>
          </rPr>
          <t>Introduzca el código SNIP</t>
        </r>
      </text>
    </comment>
    <comment ref="C652" authorId="2" shapeId="0" xr:uid="{6DA2739A-9235-4B03-85F6-892A5EF3E0B1}">
      <text>
        <r>
          <rPr>
            <sz val="11"/>
            <color theme="1"/>
            <rFont val="Calibri"/>
            <family val="2"/>
            <scheme val="minor"/>
          </rPr>
          <t>Introduzca la fecha de inicio del proceso, en formato dd-mm-aaaa</t>
        </r>
      </text>
    </comment>
    <comment ref="F652" authorId="2" shapeId="0" xr:uid="{32CAEB59-39AA-4ED4-B392-F559189698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2" shapeId="0" xr:uid="{C666C0AB-C948-4912-9A2E-DA93FE1ED0F3}">
      <text/>
    </comment>
    <comment ref="C654" authorId="2" shapeId="0" xr:uid="{9FB85B91-9197-4D7F-838F-12B40F83778C}">
      <text>
        <r>
          <rPr>
            <sz val="11"/>
            <color theme="1"/>
            <rFont val="Calibri"/>
            <family val="2"/>
            <scheme val="minor"/>
          </rPr>
          <t>Introduzca la fecha prevista de adjudicación, en formato dd-mm-aaaa</t>
        </r>
      </text>
    </comment>
    <comment ref="F654" authorId="2" shapeId="0" xr:uid="{53609484-767A-44A4-960D-2C8246CEA791}">
      <text/>
    </comment>
    <comment ref="F655" authorId="2" shapeId="0" xr:uid="{84B6E0A9-92F3-4346-89FF-49464564FBF8}">
      <text/>
    </comment>
    <comment ref="A657" authorId="2" shapeId="0" xr:uid="{D8AC9798-005B-48DB-9636-0C7913CF7E76}">
      <text>
        <r>
          <rPr>
            <sz val="11"/>
            <color theme="1"/>
            <rFont val="Calibri"/>
            <family val="2"/>
            <scheme val="minor"/>
          </rPr>
          <t>Introduzca un codigo UNSPSC</t>
        </r>
      </text>
    </comment>
    <comment ref="B657" authorId="2" shapeId="0" xr:uid="{AF5CACD6-62F1-49A9-82D3-66A3B87D9D89}">
      <text>
        <r>
          <rPr>
            <sz val="11"/>
            <color theme="1"/>
            <rFont val="Calibri"/>
            <family val="2"/>
            <scheme val="minor"/>
          </rPr>
          <t>Descripción calculada automáticamente a partir de código del artículo</t>
        </r>
      </text>
    </comment>
    <comment ref="C657" authorId="2" shapeId="0" xr:uid="{F3B3892B-F445-4810-98EC-40EB591B27E6}">
      <text>
        <r>
          <rPr>
            <sz val="11"/>
            <color theme="1"/>
            <rFont val="Calibri"/>
            <family val="2"/>
            <scheme val="minor"/>
          </rPr>
          <t>Seleccione un valor de la lista</t>
        </r>
      </text>
    </comment>
    <comment ref="D657" authorId="2" shapeId="0" xr:uid="{5EB45E20-5BA8-4723-BACE-3992ABECCD35}">
      <text>
        <r>
          <rPr>
            <sz val="11"/>
            <color theme="1"/>
            <rFont val="Calibri"/>
            <family val="2"/>
            <scheme val="minor"/>
          </rPr>
          <t>Introduzca un número con dos decimales como máximo. Debe ser igual o mayor a la "Cantidad Real Consumida"</t>
        </r>
      </text>
    </comment>
    <comment ref="E657" authorId="2" shapeId="0" xr:uid="{AD8E7A73-37FF-4052-B8A7-1E6382ADDB76}">
      <text>
        <r>
          <rPr>
            <sz val="11"/>
            <color theme="1"/>
            <rFont val="Calibri"/>
            <family val="2"/>
            <scheme val="minor"/>
          </rPr>
          <t>Introduzca un número con dos decimales como máximo</t>
        </r>
      </text>
    </comment>
    <comment ref="F657" authorId="2" shapeId="0" xr:uid="{6A657AFA-DACA-4EB9-9EDF-E55C0F1D0A76}">
      <text>
        <r>
          <rPr>
            <sz val="11"/>
            <color theme="1"/>
            <rFont val="Calibri"/>
            <family val="2"/>
            <scheme val="minor"/>
          </rPr>
          <t>Monto calculado automáticamente por el sistema</t>
        </r>
      </text>
    </comment>
    <comment ref="A662" authorId="2" shapeId="0" xr:uid="{C436333C-D795-40C4-905C-0914E2FE4B00}">
      <text>
        <r>
          <rPr>
            <sz val="11"/>
            <color theme="1"/>
            <rFont val="Calibri"/>
            <family val="2"/>
            <scheme val="minor"/>
          </rPr>
          <t>Introducir un texto con el nombre o referencia de la contratación</t>
        </r>
      </text>
    </comment>
    <comment ref="B662" authorId="2" shapeId="0" xr:uid="{FE6784F3-72DB-43CB-A197-D4CD16F5545B}">
      <text>
        <r>
          <rPr>
            <sz val="11"/>
            <color theme="1"/>
            <rFont val="Calibri"/>
            <family val="2"/>
            <scheme val="minor"/>
          </rPr>
          <t>Introduzca un texto con la finalidad de la contratación</t>
        </r>
      </text>
    </comment>
    <comment ref="C662" authorId="2" shapeId="0" xr:uid="{E2E2D712-16C9-42F7-BA20-5A57D17175DE}">
      <text>
        <r>
          <rPr>
            <sz val="11"/>
            <color theme="1"/>
            <rFont val="Calibri"/>
            <family val="2"/>
            <scheme val="minor"/>
          </rPr>
          <t>Seleccionar un valor del listado</t>
        </r>
      </text>
    </comment>
    <comment ref="D662" authorId="2" shapeId="0" xr:uid="{D0529BFA-D3FC-4D59-BED4-3C9A472B3B79}">
      <text>
        <r>
          <rPr>
            <sz val="11"/>
            <color theme="1"/>
            <rFont val="Calibri"/>
            <family val="2"/>
            <scheme val="minor"/>
          </rPr>
          <t>Seleccione el tipo de procedimiento</t>
        </r>
      </text>
    </comment>
    <comment ref="E662" authorId="2" shapeId="0" xr:uid="{0CDB928E-1F17-42BC-9B41-0C94522C74D3}">
      <text>
        <r>
          <rPr>
            <sz val="11"/>
            <color theme="1"/>
            <rFont val="Calibri"/>
            <family val="2"/>
            <scheme val="minor"/>
          </rPr>
          <t>Seleccione un valor de la lista</t>
        </r>
      </text>
    </comment>
    <comment ref="F662" authorId="2" shapeId="0" xr:uid="{E068F1AC-3A3C-4D12-A155-43157E9457C3}">
      <text>
        <r>
          <rPr>
            <sz val="11"/>
            <color theme="1"/>
            <rFont val="Calibri"/>
            <family val="2"/>
            <scheme val="minor"/>
          </rPr>
          <t>Introduzca el código SNIP</t>
        </r>
      </text>
    </comment>
    <comment ref="C663" authorId="2" shapeId="0" xr:uid="{AB094903-A30E-4721-96A0-07AF32111379}">
      <text>
        <r>
          <rPr>
            <sz val="11"/>
            <color theme="1"/>
            <rFont val="Calibri"/>
            <family val="2"/>
            <scheme val="minor"/>
          </rPr>
          <t>Introduzca la fecha de inicio del proceso, en formato dd-mm-aaaa</t>
        </r>
      </text>
    </comment>
    <comment ref="F663" authorId="2" shapeId="0" xr:uid="{10C4707D-158E-4813-A5BC-7B8EFFAD7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F97B8D98-3137-49C9-A2B1-D1AFE0D60B29}">
      <text/>
    </comment>
    <comment ref="C665" authorId="2" shapeId="0" xr:uid="{CA665BBF-22F6-446E-B56F-D37E4B259349}">
      <text>
        <r>
          <rPr>
            <sz val="11"/>
            <color theme="1"/>
            <rFont val="Calibri"/>
            <family val="2"/>
            <scheme val="minor"/>
          </rPr>
          <t>Introduzca la fecha prevista de adjudicación, en formato dd-mm-aaaa</t>
        </r>
      </text>
    </comment>
    <comment ref="F665" authorId="2" shapeId="0" xr:uid="{B3D04584-37CE-4867-9387-76790386881D}">
      <text/>
    </comment>
    <comment ref="F666" authorId="2" shapeId="0" xr:uid="{76E07199-7407-4459-B6AD-C8F50DF0BB74}">
      <text/>
    </comment>
    <comment ref="A668" authorId="2" shapeId="0" xr:uid="{6A37E8FA-104D-431C-A4C1-A86DA06690B1}">
      <text>
        <r>
          <rPr>
            <sz val="11"/>
            <color theme="1"/>
            <rFont val="Calibri"/>
            <family val="2"/>
            <scheme val="minor"/>
          </rPr>
          <t>Introduzca un codigo UNSPSC</t>
        </r>
      </text>
    </comment>
    <comment ref="B668" authorId="2" shapeId="0" xr:uid="{3134E8FA-35D1-46D5-95A2-4BA0610D206E}">
      <text>
        <r>
          <rPr>
            <sz val="11"/>
            <color theme="1"/>
            <rFont val="Calibri"/>
            <family val="2"/>
            <scheme val="minor"/>
          </rPr>
          <t>Descripción calculada automáticamente a partir de código del artículo</t>
        </r>
      </text>
    </comment>
    <comment ref="C668" authorId="2" shapeId="0" xr:uid="{03B853B6-3767-41A2-973D-31450B528BDA}">
      <text>
        <r>
          <rPr>
            <sz val="11"/>
            <color theme="1"/>
            <rFont val="Calibri"/>
            <family val="2"/>
            <scheme val="minor"/>
          </rPr>
          <t>Seleccione un valor de la lista</t>
        </r>
      </text>
    </comment>
    <comment ref="D668" authorId="2" shapeId="0" xr:uid="{FDD353E2-D53A-4383-886B-67C7AD27AA35}">
      <text>
        <r>
          <rPr>
            <sz val="11"/>
            <color theme="1"/>
            <rFont val="Calibri"/>
            <family val="2"/>
            <scheme val="minor"/>
          </rPr>
          <t>Introduzca un número con dos decimales como máximo. Debe ser igual o mayor a la "Cantidad Real Consumida"</t>
        </r>
      </text>
    </comment>
    <comment ref="E668" authorId="2" shapeId="0" xr:uid="{AE0A9F97-D4B3-4B39-AE41-BB3BFC6B24FA}">
      <text>
        <r>
          <rPr>
            <sz val="11"/>
            <color theme="1"/>
            <rFont val="Calibri"/>
            <family val="2"/>
            <scheme val="minor"/>
          </rPr>
          <t>Introduzca un número con dos decimales como máximo</t>
        </r>
      </text>
    </comment>
    <comment ref="F668" authorId="2" shapeId="0" xr:uid="{C53C410B-900E-40D6-AB30-849CFB9E0661}">
      <text>
        <r>
          <rPr>
            <sz val="11"/>
            <color theme="1"/>
            <rFont val="Calibri"/>
            <family val="2"/>
            <scheme val="minor"/>
          </rPr>
          <t>Monto calculado automáticamente por el sistema</t>
        </r>
      </text>
    </comment>
    <comment ref="A673" authorId="2" shapeId="0" xr:uid="{2D44E167-259E-4C10-82E2-5F7915E6811A}">
      <text>
        <r>
          <rPr>
            <sz val="11"/>
            <color theme="1"/>
            <rFont val="Calibri"/>
            <family val="2"/>
            <scheme val="minor"/>
          </rPr>
          <t>Introducir un texto con el nombre o referencia de la contratación</t>
        </r>
      </text>
    </comment>
    <comment ref="B673" authorId="2" shapeId="0" xr:uid="{A448D34B-C022-4C36-B58D-BA5080890B6B}">
      <text>
        <r>
          <rPr>
            <sz val="11"/>
            <color theme="1"/>
            <rFont val="Calibri"/>
            <family val="2"/>
            <scheme val="minor"/>
          </rPr>
          <t>Introduzca un texto con la finalidad de la contratación</t>
        </r>
      </text>
    </comment>
    <comment ref="C673" authorId="2" shapeId="0" xr:uid="{CE176481-67A2-4878-B65B-4D48434C0454}">
      <text>
        <r>
          <rPr>
            <sz val="11"/>
            <color theme="1"/>
            <rFont val="Calibri"/>
            <family val="2"/>
            <scheme val="minor"/>
          </rPr>
          <t>Seleccionar un valor del listado</t>
        </r>
      </text>
    </comment>
    <comment ref="D673" authorId="2" shapeId="0" xr:uid="{E46E2EEC-A59B-45FE-81D4-B36426B69E2F}">
      <text>
        <r>
          <rPr>
            <sz val="11"/>
            <color theme="1"/>
            <rFont val="Calibri"/>
            <family val="2"/>
            <scheme val="minor"/>
          </rPr>
          <t>Seleccione el tipo de procedimiento</t>
        </r>
      </text>
    </comment>
    <comment ref="E673" authorId="2" shapeId="0" xr:uid="{C12766FA-2740-48BC-9FA2-257F9A76190D}">
      <text>
        <r>
          <rPr>
            <sz val="11"/>
            <color theme="1"/>
            <rFont val="Calibri"/>
            <family val="2"/>
            <scheme val="minor"/>
          </rPr>
          <t>Seleccione un valor de la lista</t>
        </r>
      </text>
    </comment>
    <comment ref="F673" authorId="2" shapeId="0" xr:uid="{EF8C6B7A-C2FC-4584-9A91-5F8E6733A0A1}">
      <text>
        <r>
          <rPr>
            <sz val="11"/>
            <color theme="1"/>
            <rFont val="Calibri"/>
            <family val="2"/>
            <scheme val="minor"/>
          </rPr>
          <t>Introduzca el código SNIP</t>
        </r>
      </text>
    </comment>
    <comment ref="C674" authorId="2" shapeId="0" xr:uid="{CC9E2663-BDAF-4542-8B7C-BE5881FA0956}">
      <text>
        <r>
          <rPr>
            <sz val="11"/>
            <color theme="1"/>
            <rFont val="Calibri"/>
            <family val="2"/>
            <scheme val="minor"/>
          </rPr>
          <t>Introduzca la fecha de inicio del proceso, en formato dd-mm-aaaa</t>
        </r>
      </text>
    </comment>
    <comment ref="F674" authorId="2" shapeId="0" xr:uid="{F8253B99-5579-47C7-A6DF-E35915031C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xr:uid="{B41C4302-D70D-43E4-9945-5214281C41EA}">
      <text/>
    </comment>
    <comment ref="C676" authorId="2" shapeId="0" xr:uid="{5FE4641D-EF2A-4295-AC61-05D40371ABBE}">
      <text>
        <r>
          <rPr>
            <sz val="11"/>
            <color theme="1"/>
            <rFont val="Calibri"/>
            <family val="2"/>
            <scheme val="minor"/>
          </rPr>
          <t>Introduzca la fecha prevista de adjudicación, en formato dd-mm-aaaa</t>
        </r>
      </text>
    </comment>
    <comment ref="F676" authorId="2" shapeId="0" xr:uid="{6A2EBCB7-9112-4695-A581-7FE6078598EA}">
      <text/>
    </comment>
    <comment ref="F677" authorId="2" shapeId="0" xr:uid="{A0671FE7-CA87-4593-884D-873A0CEB876C}">
      <text/>
    </comment>
    <comment ref="A679" authorId="2" shapeId="0" xr:uid="{57CF8BFF-CEC4-446A-8287-7C82E0C3F2C2}">
      <text>
        <r>
          <rPr>
            <sz val="11"/>
            <color theme="1"/>
            <rFont val="Calibri"/>
            <family val="2"/>
            <scheme val="minor"/>
          </rPr>
          <t>Introduzca un codigo UNSPSC</t>
        </r>
      </text>
    </comment>
    <comment ref="B679" authorId="2" shapeId="0" xr:uid="{C94AAE74-D9EF-4364-A180-431AAF31FE3A}">
      <text>
        <r>
          <rPr>
            <sz val="11"/>
            <color theme="1"/>
            <rFont val="Calibri"/>
            <family val="2"/>
            <scheme val="minor"/>
          </rPr>
          <t>Descripción calculada automáticamente a partir de código del artículo</t>
        </r>
      </text>
    </comment>
    <comment ref="C679" authorId="2" shapeId="0" xr:uid="{5F7DE5C5-7468-4423-89B7-0927A61A84CE}">
      <text>
        <r>
          <rPr>
            <sz val="11"/>
            <color theme="1"/>
            <rFont val="Calibri"/>
            <family val="2"/>
            <scheme val="minor"/>
          </rPr>
          <t>Seleccione un valor de la lista</t>
        </r>
      </text>
    </comment>
    <comment ref="D679" authorId="2" shapeId="0" xr:uid="{D8F11D5D-378A-4DFE-8F73-1490B213AE60}">
      <text>
        <r>
          <rPr>
            <sz val="11"/>
            <color theme="1"/>
            <rFont val="Calibri"/>
            <family val="2"/>
            <scheme val="minor"/>
          </rPr>
          <t>Introduzca un número con dos decimales como máximo. Debe ser igual o mayor a la "Cantidad Real Consumida"</t>
        </r>
      </text>
    </comment>
    <comment ref="E679" authorId="2" shapeId="0" xr:uid="{70C56ED6-ADA7-48C4-90D1-F6512ECCE1B6}">
      <text>
        <r>
          <rPr>
            <sz val="11"/>
            <color theme="1"/>
            <rFont val="Calibri"/>
            <family val="2"/>
            <scheme val="minor"/>
          </rPr>
          <t>Introduzca un número con dos decimales como máximo</t>
        </r>
      </text>
    </comment>
    <comment ref="F679" authorId="2" shapeId="0" xr:uid="{7C442B88-E997-49E2-9637-4899248A7136}">
      <text>
        <r>
          <rPr>
            <sz val="11"/>
            <color theme="1"/>
            <rFont val="Calibri"/>
            <family val="2"/>
            <scheme val="minor"/>
          </rPr>
          <t>Monto calculado automáticamente por el sistema</t>
        </r>
      </text>
    </comment>
    <comment ref="A684" authorId="2" shapeId="0" xr:uid="{9254D954-47BC-4C94-9DDA-C8A0175D8A1F}">
      <text>
        <r>
          <rPr>
            <sz val="11"/>
            <color theme="1"/>
            <rFont val="Calibri"/>
            <family val="2"/>
            <scheme val="minor"/>
          </rPr>
          <t>Introducir un texto con el nombre o referencia de la contratación</t>
        </r>
      </text>
    </comment>
    <comment ref="B684" authorId="2" shapeId="0" xr:uid="{9BB15FEC-9A8E-4E01-A588-89145AB7C097}">
      <text>
        <r>
          <rPr>
            <sz val="11"/>
            <color theme="1"/>
            <rFont val="Calibri"/>
            <family val="2"/>
            <scheme val="minor"/>
          </rPr>
          <t>Introduzca un texto con la finalidad de la contratación</t>
        </r>
      </text>
    </comment>
    <comment ref="C684" authorId="2" shapeId="0" xr:uid="{68C360E4-44BC-4E5B-9B5C-25C1EFBA4C6D}">
      <text>
        <r>
          <rPr>
            <sz val="11"/>
            <color theme="1"/>
            <rFont val="Calibri"/>
            <family val="2"/>
            <scheme val="minor"/>
          </rPr>
          <t>Seleccionar un valor del listado</t>
        </r>
      </text>
    </comment>
    <comment ref="D684" authorId="2" shapeId="0" xr:uid="{01B98A91-095E-4AA4-ACAB-7F69F558B10D}">
      <text>
        <r>
          <rPr>
            <sz val="11"/>
            <color theme="1"/>
            <rFont val="Calibri"/>
            <family val="2"/>
            <scheme val="minor"/>
          </rPr>
          <t>Seleccione el tipo de procedimiento</t>
        </r>
      </text>
    </comment>
    <comment ref="E684" authorId="2" shapeId="0" xr:uid="{E6C37FD7-2556-45F7-8FA9-CC38E8AAA5F1}">
      <text>
        <r>
          <rPr>
            <sz val="11"/>
            <color theme="1"/>
            <rFont val="Calibri"/>
            <family val="2"/>
            <scheme val="minor"/>
          </rPr>
          <t>Seleccione un valor de la lista</t>
        </r>
      </text>
    </comment>
    <comment ref="F684" authorId="2" shapeId="0" xr:uid="{74A948F8-FF0B-45AA-A423-F9D004FCEEB1}">
      <text>
        <r>
          <rPr>
            <sz val="11"/>
            <color theme="1"/>
            <rFont val="Calibri"/>
            <family val="2"/>
            <scheme val="minor"/>
          </rPr>
          <t>Introduzca el código SNIP</t>
        </r>
      </text>
    </comment>
    <comment ref="C685" authorId="2" shapeId="0" xr:uid="{27F00396-9D89-473C-99B7-99F563321005}">
      <text>
        <r>
          <rPr>
            <sz val="11"/>
            <color theme="1"/>
            <rFont val="Calibri"/>
            <family val="2"/>
            <scheme val="minor"/>
          </rPr>
          <t>Introduzca la fecha de inicio del proceso, en formato dd-mm-aaaa</t>
        </r>
      </text>
    </comment>
    <comment ref="F685" authorId="2" shapeId="0" xr:uid="{8D994D7E-E50D-4C44-9201-193A4CFF03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2" shapeId="0" xr:uid="{8CE43E60-0EB6-47BA-857B-444D63A913A0}">
      <text/>
    </comment>
    <comment ref="C687" authorId="2" shapeId="0" xr:uid="{6E23F18D-917E-4E4E-9C7F-A5DC3CE4B547}">
      <text>
        <r>
          <rPr>
            <sz val="11"/>
            <color theme="1"/>
            <rFont val="Calibri"/>
            <family val="2"/>
            <scheme val="minor"/>
          </rPr>
          <t>Introduzca la fecha prevista de adjudicación, en formato dd-mm-aaaa</t>
        </r>
      </text>
    </comment>
    <comment ref="F687" authorId="2" shapeId="0" xr:uid="{3E6BF597-E3D3-467A-96D5-BDCE347181E7}">
      <text/>
    </comment>
    <comment ref="F688" authorId="2" shapeId="0" xr:uid="{5B3C6E2B-2038-49AC-A08D-C3C67BEDBA13}">
      <text/>
    </comment>
    <comment ref="A690" authorId="2" shapeId="0" xr:uid="{F4B4E5C4-76E1-4BD9-AB87-1EE19D834F25}">
      <text>
        <r>
          <rPr>
            <sz val="11"/>
            <color theme="1"/>
            <rFont val="Calibri"/>
            <family val="2"/>
            <scheme val="minor"/>
          </rPr>
          <t>Introduzca un codigo UNSPSC</t>
        </r>
      </text>
    </comment>
    <comment ref="B690" authorId="2" shapeId="0" xr:uid="{C3A7F99B-794B-41F2-BCAA-2550E87151C9}">
      <text>
        <r>
          <rPr>
            <sz val="11"/>
            <color theme="1"/>
            <rFont val="Calibri"/>
            <family val="2"/>
            <scheme val="minor"/>
          </rPr>
          <t>Descripción calculada automáticamente a partir de código del artículo</t>
        </r>
      </text>
    </comment>
    <comment ref="C690" authorId="2" shapeId="0" xr:uid="{A5414BE4-CC4B-4238-A70F-2000B2747A28}">
      <text>
        <r>
          <rPr>
            <sz val="11"/>
            <color theme="1"/>
            <rFont val="Calibri"/>
            <family val="2"/>
            <scheme val="minor"/>
          </rPr>
          <t>Seleccione un valor de la lista</t>
        </r>
      </text>
    </comment>
    <comment ref="D690" authorId="2" shapeId="0" xr:uid="{5E36D012-B7E8-4614-ACFA-1CB23F6A4C92}">
      <text>
        <r>
          <rPr>
            <sz val="11"/>
            <color theme="1"/>
            <rFont val="Calibri"/>
            <family val="2"/>
            <scheme val="minor"/>
          </rPr>
          <t>Introduzca un número con dos decimales como máximo. Debe ser igual o mayor a la "Cantidad Real Consumida"</t>
        </r>
      </text>
    </comment>
    <comment ref="E690" authorId="2" shapeId="0" xr:uid="{1E7A83BD-4FA6-42A7-93D7-EDF9BE3FFD31}">
      <text>
        <r>
          <rPr>
            <sz val="11"/>
            <color theme="1"/>
            <rFont val="Calibri"/>
            <family val="2"/>
            <scheme val="minor"/>
          </rPr>
          <t>Introduzca un número con dos decimales como máximo</t>
        </r>
      </text>
    </comment>
    <comment ref="F690" authorId="2" shapeId="0" xr:uid="{1EB30A7F-AC28-4DE1-A35A-E5D09E23891E}">
      <text>
        <r>
          <rPr>
            <sz val="11"/>
            <color theme="1"/>
            <rFont val="Calibri"/>
            <family val="2"/>
            <scheme val="minor"/>
          </rPr>
          <t>Monto calculado automáticamente por el sistema</t>
        </r>
      </text>
    </comment>
    <comment ref="A695" authorId="2" shapeId="0" xr:uid="{5226C578-544B-45E6-B9B6-91C663BB6B0D}">
      <text>
        <r>
          <rPr>
            <sz val="11"/>
            <color theme="1"/>
            <rFont val="Calibri"/>
            <family val="2"/>
            <scheme val="minor"/>
          </rPr>
          <t>Introducir un texto con el nombre o referencia de la contratación</t>
        </r>
      </text>
    </comment>
    <comment ref="B695" authorId="2" shapeId="0" xr:uid="{55C2F2E9-B20F-4B60-AE30-756E9D1CFDC7}">
      <text>
        <r>
          <rPr>
            <sz val="11"/>
            <color theme="1"/>
            <rFont val="Calibri"/>
            <family val="2"/>
            <scheme val="minor"/>
          </rPr>
          <t>Introduzca un texto con la finalidad de la contratación</t>
        </r>
      </text>
    </comment>
    <comment ref="C695" authorId="2" shapeId="0" xr:uid="{F5636ACF-6882-44F0-AED0-2987582BBC72}">
      <text>
        <r>
          <rPr>
            <sz val="11"/>
            <color theme="1"/>
            <rFont val="Calibri"/>
            <family val="2"/>
            <scheme val="minor"/>
          </rPr>
          <t>Seleccionar un valor del listado</t>
        </r>
      </text>
    </comment>
    <comment ref="D695" authorId="2" shapeId="0" xr:uid="{F67D4C9F-F58D-490E-989A-51261502D1E9}">
      <text>
        <r>
          <rPr>
            <sz val="11"/>
            <color theme="1"/>
            <rFont val="Calibri"/>
            <family val="2"/>
            <scheme val="minor"/>
          </rPr>
          <t>Seleccione el tipo de procedimiento</t>
        </r>
      </text>
    </comment>
    <comment ref="E695" authorId="2" shapeId="0" xr:uid="{2E209DD1-644D-49FF-8953-08832059F807}">
      <text>
        <r>
          <rPr>
            <sz val="11"/>
            <color theme="1"/>
            <rFont val="Calibri"/>
            <family val="2"/>
            <scheme val="minor"/>
          </rPr>
          <t>Seleccione un valor de la lista</t>
        </r>
      </text>
    </comment>
    <comment ref="F695" authorId="2" shapeId="0" xr:uid="{97439C53-AAAC-4430-ACEB-87612299F97F}">
      <text>
        <r>
          <rPr>
            <sz val="11"/>
            <color theme="1"/>
            <rFont val="Calibri"/>
            <family val="2"/>
            <scheme val="minor"/>
          </rPr>
          <t>Introduzca el código SNIP</t>
        </r>
      </text>
    </comment>
    <comment ref="C696" authorId="2" shapeId="0" xr:uid="{C1EB3128-BAFB-48D8-8889-7893163D9E82}">
      <text>
        <r>
          <rPr>
            <sz val="11"/>
            <color theme="1"/>
            <rFont val="Calibri"/>
            <family val="2"/>
            <scheme val="minor"/>
          </rPr>
          <t>Introduzca la fecha de inicio del proceso, en formato dd-mm-aaaa</t>
        </r>
      </text>
    </comment>
    <comment ref="F696" authorId="2" shapeId="0" xr:uid="{97208461-170E-40D7-BEC6-F4E772F505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xr:uid="{78E4D4E6-E4C8-4419-B85F-DB0308E48D55}">
      <text/>
    </comment>
    <comment ref="C698" authorId="2" shapeId="0" xr:uid="{737C30DC-EF30-4424-9548-9348970884C3}">
      <text>
        <r>
          <rPr>
            <sz val="11"/>
            <color theme="1"/>
            <rFont val="Calibri"/>
            <family val="2"/>
            <scheme val="minor"/>
          </rPr>
          <t>Introduzca la fecha prevista de adjudicación, en formato dd-mm-aaaa</t>
        </r>
      </text>
    </comment>
    <comment ref="F698" authorId="2" shapeId="0" xr:uid="{4675DF60-DD3F-41BC-AA7C-D1A809B26B14}">
      <text/>
    </comment>
    <comment ref="F699" authorId="2" shapeId="0" xr:uid="{CDED6634-6610-4FF1-B977-EA365C412D72}">
      <text/>
    </comment>
    <comment ref="A701" authorId="2" shapeId="0" xr:uid="{8A401B53-3C66-43BF-A28E-5DAFA3F85B18}">
      <text>
        <r>
          <rPr>
            <sz val="11"/>
            <color theme="1"/>
            <rFont val="Calibri"/>
            <family val="2"/>
            <scheme val="minor"/>
          </rPr>
          <t>Introduzca un codigo UNSPSC</t>
        </r>
      </text>
    </comment>
    <comment ref="B701" authorId="2" shapeId="0" xr:uid="{E868D4F0-B41D-4FB5-BE82-3EC761F86CA4}">
      <text>
        <r>
          <rPr>
            <sz val="11"/>
            <color theme="1"/>
            <rFont val="Calibri"/>
            <family val="2"/>
            <scheme val="minor"/>
          </rPr>
          <t>Descripción calculada automáticamente a partir de código del artículo</t>
        </r>
      </text>
    </comment>
    <comment ref="C701" authorId="2" shapeId="0" xr:uid="{9397C987-498D-4A1E-AC22-33068027D503}">
      <text>
        <r>
          <rPr>
            <sz val="11"/>
            <color theme="1"/>
            <rFont val="Calibri"/>
            <family val="2"/>
            <scheme val="minor"/>
          </rPr>
          <t>Seleccione un valor de la lista</t>
        </r>
      </text>
    </comment>
    <comment ref="D701" authorId="2" shapeId="0" xr:uid="{A1A39498-2923-4647-898C-AD055A25202E}">
      <text>
        <r>
          <rPr>
            <sz val="11"/>
            <color theme="1"/>
            <rFont val="Calibri"/>
            <family val="2"/>
            <scheme val="minor"/>
          </rPr>
          <t>Introduzca un número con dos decimales como máximo. Debe ser igual o mayor a la "Cantidad Real Consumida"</t>
        </r>
      </text>
    </comment>
    <comment ref="E701" authorId="2" shapeId="0" xr:uid="{4D2FF667-2C5A-45D3-BBE2-828222AC3B5B}">
      <text>
        <r>
          <rPr>
            <sz val="11"/>
            <color theme="1"/>
            <rFont val="Calibri"/>
            <family val="2"/>
            <scheme val="minor"/>
          </rPr>
          <t>Introduzca un número con dos decimales como máximo</t>
        </r>
      </text>
    </comment>
    <comment ref="F701" authorId="2" shapeId="0" xr:uid="{A98C4C05-0769-4FD1-8788-DAF4F2039162}">
      <text>
        <r>
          <rPr>
            <sz val="11"/>
            <color theme="1"/>
            <rFont val="Calibri"/>
            <family val="2"/>
            <scheme val="minor"/>
          </rPr>
          <t>Monto calculado automáticamente por el sistema</t>
        </r>
      </text>
    </comment>
    <comment ref="A706" authorId="2" shapeId="0" xr:uid="{37093C51-2495-49DE-8825-D9F494BD5351}">
      <text>
        <r>
          <rPr>
            <sz val="11"/>
            <color theme="1"/>
            <rFont val="Calibri"/>
            <family val="2"/>
            <scheme val="minor"/>
          </rPr>
          <t>Introducir un texto con el nombre o referencia de la contratación</t>
        </r>
      </text>
    </comment>
    <comment ref="B706" authorId="2" shapeId="0" xr:uid="{C8598959-399C-41BE-9770-2DD1FE2480A4}">
      <text>
        <r>
          <rPr>
            <sz val="11"/>
            <color theme="1"/>
            <rFont val="Calibri"/>
            <family val="2"/>
            <scheme val="minor"/>
          </rPr>
          <t>Introduzca un texto con la finalidad de la contratación</t>
        </r>
      </text>
    </comment>
    <comment ref="C706" authorId="2" shapeId="0" xr:uid="{C1AB69E7-7A96-4AD6-9704-119DC1B745A9}">
      <text>
        <r>
          <rPr>
            <sz val="11"/>
            <color theme="1"/>
            <rFont val="Calibri"/>
            <family val="2"/>
            <scheme val="minor"/>
          </rPr>
          <t>Seleccionar un valor del listado</t>
        </r>
      </text>
    </comment>
    <comment ref="D706" authorId="2" shapeId="0" xr:uid="{7D05E160-EB2B-4694-951C-F31E37EEF702}">
      <text>
        <r>
          <rPr>
            <sz val="11"/>
            <color theme="1"/>
            <rFont val="Calibri"/>
            <family val="2"/>
            <scheme val="minor"/>
          </rPr>
          <t>Seleccione el tipo de procedimiento</t>
        </r>
      </text>
    </comment>
    <comment ref="E706" authorId="2" shapeId="0" xr:uid="{21C38B32-08BE-476B-B843-569DC9802E0E}">
      <text>
        <r>
          <rPr>
            <sz val="11"/>
            <color theme="1"/>
            <rFont val="Calibri"/>
            <family val="2"/>
            <scheme val="minor"/>
          </rPr>
          <t>Seleccione un valor de la lista</t>
        </r>
      </text>
    </comment>
    <comment ref="F706" authorId="2" shapeId="0" xr:uid="{D8465509-0564-47CF-9B0F-6023C9EE8EBF}">
      <text>
        <r>
          <rPr>
            <sz val="11"/>
            <color theme="1"/>
            <rFont val="Calibri"/>
            <family val="2"/>
            <scheme val="minor"/>
          </rPr>
          <t>Introduzca el código SNIP</t>
        </r>
      </text>
    </comment>
    <comment ref="C707" authorId="2" shapeId="0" xr:uid="{DF9410C2-C187-4CB3-A5E2-A21E0BD17405}">
      <text>
        <r>
          <rPr>
            <sz val="11"/>
            <color theme="1"/>
            <rFont val="Calibri"/>
            <family val="2"/>
            <scheme val="minor"/>
          </rPr>
          <t>Introduzca la fecha de inicio del proceso, en formato dd-mm-aaaa</t>
        </r>
      </text>
    </comment>
    <comment ref="F707" authorId="2" shapeId="0" xr:uid="{83894E6A-B3A6-4293-AABB-8D84B1E536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2" shapeId="0" xr:uid="{3FB37DC0-81E9-4ACC-A2F6-8055FCEFF646}">
      <text/>
    </comment>
    <comment ref="C709" authorId="2" shapeId="0" xr:uid="{7F8BAAAA-13C7-4D1A-BD08-EA6376CC1536}">
      <text>
        <r>
          <rPr>
            <sz val="11"/>
            <color theme="1"/>
            <rFont val="Calibri"/>
            <family val="2"/>
            <scheme val="minor"/>
          </rPr>
          <t>Introduzca la fecha prevista de adjudicación, en formato dd-mm-aaaa</t>
        </r>
      </text>
    </comment>
    <comment ref="F709" authorId="2" shapeId="0" xr:uid="{71BF8BE0-66F6-4A63-BB37-7E0B2480E010}">
      <text/>
    </comment>
    <comment ref="F710" authorId="2" shapeId="0" xr:uid="{C679AF11-877D-4887-A6DF-AAA9B2E350CB}">
      <text/>
    </comment>
    <comment ref="A712" authorId="2" shapeId="0" xr:uid="{2C6FC73E-6DB6-4D66-80B1-8593843CF2FC}">
      <text>
        <r>
          <rPr>
            <sz val="11"/>
            <color theme="1"/>
            <rFont val="Calibri"/>
            <family val="2"/>
            <scheme val="minor"/>
          </rPr>
          <t>Introduzca un codigo UNSPSC</t>
        </r>
      </text>
    </comment>
    <comment ref="B712" authorId="2" shapeId="0" xr:uid="{54309C27-3795-451F-A97A-41FA9F2FC81D}">
      <text>
        <r>
          <rPr>
            <sz val="11"/>
            <color theme="1"/>
            <rFont val="Calibri"/>
            <family val="2"/>
            <scheme val="minor"/>
          </rPr>
          <t>Descripción calculada automáticamente a partir de código del artículo</t>
        </r>
      </text>
    </comment>
    <comment ref="C712" authorId="2" shapeId="0" xr:uid="{DC5E5825-B463-4C70-B28D-F71C473C809F}">
      <text>
        <r>
          <rPr>
            <sz val="11"/>
            <color theme="1"/>
            <rFont val="Calibri"/>
            <family val="2"/>
            <scheme val="minor"/>
          </rPr>
          <t>Seleccione un valor de la lista</t>
        </r>
      </text>
    </comment>
    <comment ref="D712" authorId="2" shapeId="0" xr:uid="{64468253-048D-4798-ABD0-D3BD0ACB9814}">
      <text>
        <r>
          <rPr>
            <sz val="11"/>
            <color theme="1"/>
            <rFont val="Calibri"/>
            <family val="2"/>
            <scheme val="minor"/>
          </rPr>
          <t>Introduzca un número con dos decimales como máximo. Debe ser igual o mayor a la "Cantidad Real Consumida"</t>
        </r>
      </text>
    </comment>
    <comment ref="E712" authorId="2" shapeId="0" xr:uid="{44C4BAE5-23C6-47EF-8BF5-97E8E77C9514}">
      <text>
        <r>
          <rPr>
            <sz val="11"/>
            <color theme="1"/>
            <rFont val="Calibri"/>
            <family val="2"/>
            <scheme val="minor"/>
          </rPr>
          <t>Introduzca un número con dos decimales como máximo</t>
        </r>
      </text>
    </comment>
    <comment ref="F712" authorId="2" shapeId="0" xr:uid="{BD4EDA40-3556-4697-9C41-CC374836330C}">
      <text>
        <r>
          <rPr>
            <sz val="11"/>
            <color theme="1"/>
            <rFont val="Calibri"/>
            <family val="2"/>
            <scheme val="minor"/>
          </rPr>
          <t>Monto calculado automáticamente por el sistema</t>
        </r>
      </text>
    </comment>
    <comment ref="A717" authorId="2" shapeId="0" xr:uid="{9971C0B2-9DB6-49C0-B603-81C256C0A56B}">
      <text>
        <r>
          <rPr>
            <sz val="11"/>
            <color theme="1"/>
            <rFont val="Calibri"/>
            <family val="2"/>
            <scheme val="minor"/>
          </rPr>
          <t>Introducir un texto con el nombre o referencia de la contratación</t>
        </r>
      </text>
    </comment>
    <comment ref="B717" authorId="2" shapeId="0" xr:uid="{0214AD4B-DAC9-4B9F-B31F-2673FF8B0BC6}">
      <text>
        <r>
          <rPr>
            <sz val="11"/>
            <color theme="1"/>
            <rFont val="Calibri"/>
            <family val="2"/>
            <scheme val="minor"/>
          </rPr>
          <t>Introduzca un texto con la finalidad de la contratación</t>
        </r>
      </text>
    </comment>
    <comment ref="C717" authorId="2" shapeId="0" xr:uid="{1574C843-15D1-4D43-8241-2DEA616A2FD1}">
      <text>
        <r>
          <rPr>
            <sz val="11"/>
            <color theme="1"/>
            <rFont val="Calibri"/>
            <family val="2"/>
            <scheme val="minor"/>
          </rPr>
          <t>Seleccionar un valor del listado</t>
        </r>
      </text>
    </comment>
    <comment ref="D717" authorId="2" shapeId="0" xr:uid="{02008221-DDA0-4EE6-BB93-1A2E1183203B}">
      <text>
        <r>
          <rPr>
            <sz val="11"/>
            <color theme="1"/>
            <rFont val="Calibri"/>
            <family val="2"/>
            <scheme val="minor"/>
          </rPr>
          <t>Seleccione el tipo de procedimiento</t>
        </r>
      </text>
    </comment>
    <comment ref="E717" authorId="2" shapeId="0" xr:uid="{CC1A9A78-1827-4AEA-8319-92300730A7D4}">
      <text>
        <r>
          <rPr>
            <sz val="11"/>
            <color theme="1"/>
            <rFont val="Calibri"/>
            <family val="2"/>
            <scheme val="minor"/>
          </rPr>
          <t>Seleccione un valor de la lista</t>
        </r>
      </text>
    </comment>
    <comment ref="F717" authorId="2" shapeId="0" xr:uid="{B204A50F-4293-4FD7-8614-35493DD0F8D9}">
      <text>
        <r>
          <rPr>
            <sz val="11"/>
            <color theme="1"/>
            <rFont val="Calibri"/>
            <family val="2"/>
            <scheme val="minor"/>
          </rPr>
          <t>Introduzca el código SNIP</t>
        </r>
      </text>
    </comment>
    <comment ref="C718" authorId="2" shapeId="0" xr:uid="{C3137EAC-E514-42E2-A415-006AE4AB1212}">
      <text>
        <r>
          <rPr>
            <sz val="11"/>
            <color theme="1"/>
            <rFont val="Calibri"/>
            <family val="2"/>
            <scheme val="minor"/>
          </rPr>
          <t>Introduzca la fecha de inicio del proceso, en formato dd-mm-aaaa</t>
        </r>
      </text>
    </comment>
    <comment ref="F718" authorId="2" shapeId="0" xr:uid="{95595617-4B5D-452C-A5A4-C9AA3EC1DB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422F2D5D-A309-4B5B-8C63-FD06A2114436}">
      <text/>
    </comment>
    <comment ref="C720" authorId="2" shapeId="0" xr:uid="{8A5DE323-B940-4F0E-ACEB-987F3E5C1A08}">
      <text>
        <r>
          <rPr>
            <sz val="11"/>
            <color theme="1"/>
            <rFont val="Calibri"/>
            <family val="2"/>
            <scheme val="minor"/>
          </rPr>
          <t>Introduzca la fecha prevista de adjudicación, en formato dd-mm-aaaa</t>
        </r>
      </text>
    </comment>
    <comment ref="F720" authorId="2" shapeId="0" xr:uid="{9CDEE619-84F3-4052-A9A6-9F5AEED4A1E5}">
      <text/>
    </comment>
    <comment ref="F721" authorId="2" shapeId="0" xr:uid="{5AB5A7D2-F45D-43D1-9D12-505D46776D73}">
      <text/>
    </comment>
    <comment ref="A723" authorId="2" shapeId="0" xr:uid="{2C60E140-BE96-4559-ACF7-8C723404170C}">
      <text>
        <r>
          <rPr>
            <sz val="11"/>
            <color theme="1"/>
            <rFont val="Calibri"/>
            <family val="2"/>
            <scheme val="minor"/>
          </rPr>
          <t>Introduzca un codigo UNSPSC</t>
        </r>
      </text>
    </comment>
    <comment ref="B723" authorId="2" shapeId="0" xr:uid="{2F7D6D4A-92A5-4765-B1DC-587D8DF12A0C}">
      <text>
        <r>
          <rPr>
            <sz val="11"/>
            <color theme="1"/>
            <rFont val="Calibri"/>
            <family val="2"/>
            <scheme val="minor"/>
          </rPr>
          <t>Descripción calculada automáticamente a partir de código del artículo</t>
        </r>
      </text>
    </comment>
    <comment ref="C723" authorId="2" shapeId="0" xr:uid="{56A15B4A-F403-4BDA-8E95-D60C89189DE8}">
      <text>
        <r>
          <rPr>
            <sz val="11"/>
            <color theme="1"/>
            <rFont val="Calibri"/>
            <family val="2"/>
            <scheme val="minor"/>
          </rPr>
          <t>Seleccione un valor de la lista</t>
        </r>
      </text>
    </comment>
    <comment ref="D723" authorId="2" shapeId="0" xr:uid="{89D68156-06F0-42F3-A782-B29B5569EAD2}">
      <text>
        <r>
          <rPr>
            <sz val="11"/>
            <color theme="1"/>
            <rFont val="Calibri"/>
            <family val="2"/>
            <scheme val="minor"/>
          </rPr>
          <t>Introduzca un número con dos decimales como máximo. Debe ser igual o mayor a la "Cantidad Real Consumida"</t>
        </r>
      </text>
    </comment>
    <comment ref="E723" authorId="2" shapeId="0" xr:uid="{403A0D28-C8B4-4593-BD75-E03E95894007}">
      <text>
        <r>
          <rPr>
            <sz val="11"/>
            <color theme="1"/>
            <rFont val="Calibri"/>
            <family val="2"/>
            <scheme val="minor"/>
          </rPr>
          <t>Introduzca un número con dos decimales como máximo</t>
        </r>
      </text>
    </comment>
    <comment ref="F723" authorId="2" shapeId="0" xr:uid="{C3239392-A4AE-4702-B26D-D5FCDA085DB2}">
      <text>
        <r>
          <rPr>
            <sz val="11"/>
            <color theme="1"/>
            <rFont val="Calibri"/>
            <family val="2"/>
            <scheme val="minor"/>
          </rPr>
          <t>Monto calculado automáticamente por el sistema</t>
        </r>
      </text>
    </comment>
    <comment ref="A728" authorId="2" shapeId="0" xr:uid="{8246B050-29CB-4681-8E77-CB44BD208075}">
      <text>
        <r>
          <rPr>
            <sz val="11"/>
            <color theme="1"/>
            <rFont val="Calibri"/>
            <family val="2"/>
            <scheme val="minor"/>
          </rPr>
          <t>Introducir un texto con el nombre o referencia de la contratación</t>
        </r>
      </text>
    </comment>
    <comment ref="B728" authorId="2" shapeId="0" xr:uid="{2C422884-1E22-49D6-972A-AEA542C4A191}">
      <text>
        <r>
          <rPr>
            <sz val="11"/>
            <color theme="1"/>
            <rFont val="Calibri"/>
            <family val="2"/>
            <scheme val="minor"/>
          </rPr>
          <t>Introduzca un texto con la finalidad de la contratación</t>
        </r>
      </text>
    </comment>
    <comment ref="C728" authorId="2" shapeId="0" xr:uid="{5B4AB7AF-D91E-4888-B861-37B1122EF0B0}">
      <text>
        <r>
          <rPr>
            <sz val="11"/>
            <color theme="1"/>
            <rFont val="Calibri"/>
            <family val="2"/>
            <scheme val="minor"/>
          </rPr>
          <t>Seleccionar un valor del listado</t>
        </r>
      </text>
    </comment>
    <comment ref="D728" authorId="2" shapeId="0" xr:uid="{4A894EAF-70CE-44F7-9225-9E68893E10C9}">
      <text>
        <r>
          <rPr>
            <sz val="11"/>
            <color theme="1"/>
            <rFont val="Calibri"/>
            <family val="2"/>
            <scheme val="minor"/>
          </rPr>
          <t>Seleccione el tipo de procedimiento</t>
        </r>
      </text>
    </comment>
    <comment ref="E728" authorId="2" shapeId="0" xr:uid="{F0B4795C-39CB-4E71-8F95-F31799472366}">
      <text>
        <r>
          <rPr>
            <sz val="11"/>
            <color theme="1"/>
            <rFont val="Calibri"/>
            <family val="2"/>
            <scheme val="minor"/>
          </rPr>
          <t>Seleccione un valor de la lista</t>
        </r>
      </text>
    </comment>
    <comment ref="F728" authorId="2" shapeId="0" xr:uid="{CB38474C-EF9F-459C-AF43-D92B348B3F4F}">
      <text>
        <r>
          <rPr>
            <sz val="11"/>
            <color theme="1"/>
            <rFont val="Calibri"/>
            <family val="2"/>
            <scheme val="minor"/>
          </rPr>
          <t>Introduzca el código SNIP</t>
        </r>
      </text>
    </comment>
    <comment ref="C729" authorId="2" shapeId="0" xr:uid="{ED8E4445-71FE-4233-BB5F-0CEA8B0E11C6}">
      <text>
        <r>
          <rPr>
            <sz val="11"/>
            <color theme="1"/>
            <rFont val="Calibri"/>
            <family val="2"/>
            <scheme val="minor"/>
          </rPr>
          <t>Introduzca la fecha de inicio del proceso, en formato dd-mm-aaaa</t>
        </r>
      </text>
    </comment>
    <comment ref="F729" authorId="2" shapeId="0" xr:uid="{35E1B0CF-20F7-4A03-AB62-212A7555A2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CCF3482F-4C7F-4E7B-A507-017CC76D9C0E}">
      <text/>
    </comment>
    <comment ref="C731" authorId="2" shapeId="0" xr:uid="{F713816F-02B5-488C-8086-FCD318DD060A}">
      <text>
        <r>
          <rPr>
            <sz val="11"/>
            <color theme="1"/>
            <rFont val="Calibri"/>
            <family val="2"/>
            <scheme val="minor"/>
          </rPr>
          <t>Introduzca la fecha prevista de adjudicación, en formato dd-mm-aaaa</t>
        </r>
      </text>
    </comment>
    <comment ref="F731" authorId="2" shapeId="0" xr:uid="{3C1B64CE-AF96-416F-B91D-E8CA9C4B1B65}">
      <text/>
    </comment>
    <comment ref="F732" authorId="2" shapeId="0" xr:uid="{B488F40B-CFA7-4E74-93A9-CB636B911D96}">
      <text/>
    </comment>
    <comment ref="A734" authorId="2" shapeId="0" xr:uid="{6F4AE156-656F-4C7E-91EA-B67B56074289}">
      <text>
        <r>
          <rPr>
            <sz val="11"/>
            <color theme="1"/>
            <rFont val="Calibri"/>
            <family val="2"/>
            <scheme val="minor"/>
          </rPr>
          <t>Introduzca un codigo UNSPSC</t>
        </r>
      </text>
    </comment>
    <comment ref="B734" authorId="2" shapeId="0" xr:uid="{E9921D45-91A0-45E3-A2BB-83FF3D4CEAE4}">
      <text>
        <r>
          <rPr>
            <sz val="11"/>
            <color theme="1"/>
            <rFont val="Calibri"/>
            <family val="2"/>
            <scheme val="minor"/>
          </rPr>
          <t>Descripción calculada automáticamente a partir de código del artículo</t>
        </r>
      </text>
    </comment>
    <comment ref="C734" authorId="2" shapeId="0" xr:uid="{1C65B9FB-D00C-4C38-B78E-7DF33A5E7DC7}">
      <text>
        <r>
          <rPr>
            <sz val="11"/>
            <color theme="1"/>
            <rFont val="Calibri"/>
            <family val="2"/>
            <scheme val="minor"/>
          </rPr>
          <t>Seleccione un valor de la lista</t>
        </r>
      </text>
    </comment>
    <comment ref="D734" authorId="2" shapeId="0" xr:uid="{3147EEE8-42EE-45F1-ADEF-8AF393314557}">
      <text>
        <r>
          <rPr>
            <sz val="11"/>
            <color theme="1"/>
            <rFont val="Calibri"/>
            <family val="2"/>
            <scheme val="minor"/>
          </rPr>
          <t>Introduzca un número con dos decimales como máximo. Debe ser igual o mayor a la "Cantidad Real Consumida"</t>
        </r>
      </text>
    </comment>
    <comment ref="E734" authorId="2" shapeId="0" xr:uid="{9D35B6AF-55FF-4069-907B-BB834F4BD516}">
      <text>
        <r>
          <rPr>
            <sz val="11"/>
            <color theme="1"/>
            <rFont val="Calibri"/>
            <family val="2"/>
            <scheme val="minor"/>
          </rPr>
          <t>Introduzca un número con dos decimales como máximo</t>
        </r>
      </text>
    </comment>
    <comment ref="F734" authorId="2" shapeId="0" xr:uid="{9CB8A64E-07DB-4F53-91DE-43734CE28FF4}">
      <text>
        <r>
          <rPr>
            <sz val="11"/>
            <color theme="1"/>
            <rFont val="Calibri"/>
            <family val="2"/>
            <scheme val="minor"/>
          </rPr>
          <t>Monto calculado automáticamente por el sistema</t>
        </r>
      </text>
    </comment>
    <comment ref="A739" authorId="2" shapeId="0" xr:uid="{C960F3BA-7484-415C-9A04-276A8FA7AEFA}">
      <text>
        <r>
          <rPr>
            <sz val="11"/>
            <color theme="1"/>
            <rFont val="Calibri"/>
            <family val="2"/>
            <scheme val="minor"/>
          </rPr>
          <t>Introducir un texto con el nombre o referencia de la contratación</t>
        </r>
      </text>
    </comment>
    <comment ref="B739" authorId="2" shapeId="0" xr:uid="{4FD5F92D-1759-43E5-8394-6BD51E7060FE}">
      <text>
        <r>
          <rPr>
            <sz val="11"/>
            <color theme="1"/>
            <rFont val="Calibri"/>
            <family val="2"/>
            <scheme val="minor"/>
          </rPr>
          <t>Introduzca un texto con la finalidad de la contratación</t>
        </r>
      </text>
    </comment>
    <comment ref="C739" authorId="2" shapeId="0" xr:uid="{CF620EB9-7D83-4E17-BB34-9134BA332FC0}">
      <text>
        <r>
          <rPr>
            <sz val="11"/>
            <color theme="1"/>
            <rFont val="Calibri"/>
            <family val="2"/>
            <scheme val="minor"/>
          </rPr>
          <t>Seleccionar un valor del listado</t>
        </r>
      </text>
    </comment>
    <comment ref="D739" authorId="2" shapeId="0" xr:uid="{5D43E53A-B5F0-4B52-9272-D8C1508C4A50}">
      <text>
        <r>
          <rPr>
            <sz val="11"/>
            <color theme="1"/>
            <rFont val="Calibri"/>
            <family val="2"/>
            <scheme val="minor"/>
          </rPr>
          <t>Seleccione el tipo de procedimiento</t>
        </r>
      </text>
    </comment>
    <comment ref="E739" authorId="2" shapeId="0" xr:uid="{F7D9AB24-5103-4146-8E6F-00D301DA657F}">
      <text>
        <r>
          <rPr>
            <sz val="11"/>
            <color theme="1"/>
            <rFont val="Calibri"/>
            <family val="2"/>
            <scheme val="minor"/>
          </rPr>
          <t>Seleccione un valor de la lista</t>
        </r>
      </text>
    </comment>
    <comment ref="F739" authorId="2" shapeId="0" xr:uid="{41AF6F73-B595-4D42-9D2B-7DEE46CF1177}">
      <text>
        <r>
          <rPr>
            <sz val="11"/>
            <color theme="1"/>
            <rFont val="Calibri"/>
            <family val="2"/>
            <scheme val="minor"/>
          </rPr>
          <t>Introduzca el código SNIP</t>
        </r>
      </text>
    </comment>
    <comment ref="C740" authorId="2" shapeId="0" xr:uid="{BC854DF0-1630-422E-85C2-856613303011}">
      <text>
        <r>
          <rPr>
            <sz val="11"/>
            <color theme="1"/>
            <rFont val="Calibri"/>
            <family val="2"/>
            <scheme val="minor"/>
          </rPr>
          <t>Introduzca la fecha de inicio del proceso, en formato dd-mm-aaaa</t>
        </r>
      </text>
    </comment>
    <comment ref="F740" authorId="2" shapeId="0" xr:uid="{EE116C69-32B1-4457-B5E8-B21CF38D78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xr:uid="{3CD673E8-058F-46C9-AD02-75A5DE42E35B}">
      <text/>
    </comment>
    <comment ref="C742" authorId="2" shapeId="0" xr:uid="{3C6B27A9-531C-4DCA-9D14-73DE660102FA}">
      <text>
        <r>
          <rPr>
            <sz val="11"/>
            <color theme="1"/>
            <rFont val="Calibri"/>
            <family val="2"/>
            <scheme val="minor"/>
          </rPr>
          <t>Introduzca la fecha prevista de adjudicación, en formato dd-mm-aaaa</t>
        </r>
      </text>
    </comment>
    <comment ref="F742" authorId="2" shapeId="0" xr:uid="{47D661DA-F5C3-4F3F-BAD0-261BFECBB26E}">
      <text/>
    </comment>
    <comment ref="F743" authorId="2" shapeId="0" xr:uid="{9976B8B5-88FB-49D3-BE14-755F2FFD3806}">
      <text/>
    </comment>
    <comment ref="A745" authorId="2" shapeId="0" xr:uid="{833EA3C5-9D46-4F9C-B769-5E195A16989E}">
      <text>
        <r>
          <rPr>
            <sz val="11"/>
            <color theme="1"/>
            <rFont val="Calibri"/>
            <family val="2"/>
            <scheme val="minor"/>
          </rPr>
          <t>Introduzca un codigo UNSPSC</t>
        </r>
      </text>
    </comment>
    <comment ref="B745" authorId="2" shapeId="0" xr:uid="{04E0FDAF-3A9D-4DC2-A242-6272E8C6BB37}">
      <text>
        <r>
          <rPr>
            <sz val="11"/>
            <color theme="1"/>
            <rFont val="Calibri"/>
            <family val="2"/>
            <scheme val="minor"/>
          </rPr>
          <t>Descripción calculada automáticamente a partir de código del artículo</t>
        </r>
      </text>
    </comment>
    <comment ref="C745" authorId="2" shapeId="0" xr:uid="{CDA491C9-4CCF-4746-9038-AE038783D56B}">
      <text>
        <r>
          <rPr>
            <sz val="11"/>
            <color theme="1"/>
            <rFont val="Calibri"/>
            <family val="2"/>
            <scheme val="minor"/>
          </rPr>
          <t>Seleccione un valor de la lista</t>
        </r>
      </text>
    </comment>
    <comment ref="D745" authorId="2" shapeId="0" xr:uid="{E8A81B32-F5D1-40A7-BB38-575429CB01DF}">
      <text>
        <r>
          <rPr>
            <sz val="11"/>
            <color theme="1"/>
            <rFont val="Calibri"/>
            <family val="2"/>
            <scheme val="minor"/>
          </rPr>
          <t>Introduzca un número con dos decimales como máximo. Debe ser igual o mayor a la "Cantidad Real Consumida"</t>
        </r>
      </text>
    </comment>
    <comment ref="E745" authorId="2" shapeId="0" xr:uid="{B12C958D-B8F2-4A3B-9917-204E7E5511EF}">
      <text>
        <r>
          <rPr>
            <sz val="11"/>
            <color theme="1"/>
            <rFont val="Calibri"/>
            <family val="2"/>
            <scheme val="minor"/>
          </rPr>
          <t>Introduzca un número con dos decimales como máximo</t>
        </r>
      </text>
    </comment>
    <comment ref="F745" authorId="2" shapeId="0" xr:uid="{556949B6-B226-4CE8-8FDF-CBC0B737197D}">
      <text>
        <r>
          <rPr>
            <sz val="11"/>
            <color theme="1"/>
            <rFont val="Calibri"/>
            <family val="2"/>
            <scheme val="minor"/>
          </rPr>
          <t>Monto calculado automáticamente por el sistema</t>
        </r>
      </text>
    </comment>
    <comment ref="A752" authorId="2" shapeId="0" xr:uid="{34D852A4-9BC9-4218-A6CD-3B48F6AB9EFE}">
      <text>
        <r>
          <rPr>
            <sz val="11"/>
            <color theme="1"/>
            <rFont val="Calibri"/>
            <family val="2"/>
            <scheme val="minor"/>
          </rPr>
          <t>Introducir un texto con el nombre o referencia de la contratación</t>
        </r>
      </text>
    </comment>
    <comment ref="B752" authorId="2" shapeId="0" xr:uid="{83019434-6CD5-42A6-B05B-8EB9EFE7BEAC}">
      <text>
        <r>
          <rPr>
            <sz val="11"/>
            <color theme="1"/>
            <rFont val="Calibri"/>
            <family val="2"/>
            <scheme val="minor"/>
          </rPr>
          <t>Introduzca un texto con la finalidad de la contratación</t>
        </r>
      </text>
    </comment>
    <comment ref="C752" authorId="2" shapeId="0" xr:uid="{8951285A-3C3B-43F5-B52C-3325435AF6B2}">
      <text>
        <r>
          <rPr>
            <sz val="11"/>
            <color theme="1"/>
            <rFont val="Calibri"/>
            <family val="2"/>
            <scheme val="minor"/>
          </rPr>
          <t>Seleccionar un valor del listado</t>
        </r>
      </text>
    </comment>
    <comment ref="D752" authorId="2" shapeId="0" xr:uid="{30EA71E2-4A13-4FBF-A414-62F5F2CB13A5}">
      <text>
        <r>
          <rPr>
            <sz val="11"/>
            <color theme="1"/>
            <rFont val="Calibri"/>
            <family val="2"/>
            <scheme val="minor"/>
          </rPr>
          <t>Seleccione el tipo de procedimiento</t>
        </r>
      </text>
    </comment>
    <comment ref="E752" authorId="2" shapeId="0" xr:uid="{3C9AFE5C-4769-4558-8690-30C50BA2526A}">
      <text>
        <r>
          <rPr>
            <sz val="11"/>
            <color theme="1"/>
            <rFont val="Calibri"/>
            <family val="2"/>
            <scheme val="minor"/>
          </rPr>
          <t>Seleccione un valor de la lista</t>
        </r>
      </text>
    </comment>
    <comment ref="F752" authorId="2" shapeId="0" xr:uid="{DBAA233C-376F-432D-87C2-B49360832585}">
      <text>
        <r>
          <rPr>
            <sz val="11"/>
            <color theme="1"/>
            <rFont val="Calibri"/>
            <family val="2"/>
            <scheme val="minor"/>
          </rPr>
          <t>Introduzca el código SNIP</t>
        </r>
      </text>
    </comment>
    <comment ref="C753" authorId="2" shapeId="0" xr:uid="{A5DA0B3D-FD49-4F85-ACEE-F6600FF43190}">
      <text>
        <r>
          <rPr>
            <sz val="11"/>
            <color theme="1"/>
            <rFont val="Calibri"/>
            <family val="2"/>
            <scheme val="minor"/>
          </rPr>
          <t>Introduzca la fecha de inicio del proceso, en formato dd-mm-aaaa</t>
        </r>
      </text>
    </comment>
    <comment ref="F753" authorId="2" shapeId="0" xr:uid="{3160B4ED-43CA-4FF5-AE51-0823D02BE8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2" shapeId="0" xr:uid="{327DA257-28FB-4A1F-A582-6DC6DA0B0088}">
      <text/>
    </comment>
    <comment ref="C755" authorId="2" shapeId="0" xr:uid="{1A1C7959-DD73-4BBE-8D4A-D75A2F5EEB8C}">
      <text>
        <r>
          <rPr>
            <sz val="11"/>
            <color theme="1"/>
            <rFont val="Calibri"/>
            <family val="2"/>
            <scheme val="minor"/>
          </rPr>
          <t>Introduzca la fecha prevista de adjudicación, en formato dd-mm-aaaa</t>
        </r>
      </text>
    </comment>
    <comment ref="F755" authorId="2" shapeId="0" xr:uid="{F194C0F8-FC9C-42F9-9A4A-585B8DA20022}">
      <text/>
    </comment>
    <comment ref="F756" authorId="2" shapeId="0" xr:uid="{B7A10525-96BE-4D85-B71B-6F193837587F}">
      <text/>
    </comment>
    <comment ref="A758" authorId="2" shapeId="0" xr:uid="{27E7F069-BABC-4F64-9C4F-3598781DB712}">
      <text>
        <r>
          <rPr>
            <sz val="11"/>
            <color theme="1"/>
            <rFont val="Calibri"/>
            <family val="2"/>
            <scheme val="minor"/>
          </rPr>
          <t>Introduzca un codigo UNSPSC</t>
        </r>
      </text>
    </comment>
    <comment ref="B758" authorId="2" shapeId="0" xr:uid="{B645F8F9-188F-4742-A51A-CD6FEADF6D70}">
      <text>
        <r>
          <rPr>
            <sz val="11"/>
            <color theme="1"/>
            <rFont val="Calibri"/>
            <family val="2"/>
            <scheme val="minor"/>
          </rPr>
          <t>Descripción calculada automáticamente a partir de código del artículo</t>
        </r>
      </text>
    </comment>
    <comment ref="C758" authorId="2" shapeId="0" xr:uid="{1E16ED92-17F7-4AF9-951F-11C033E5C4A8}">
      <text>
        <r>
          <rPr>
            <sz val="11"/>
            <color theme="1"/>
            <rFont val="Calibri"/>
            <family val="2"/>
            <scheme val="minor"/>
          </rPr>
          <t>Seleccione un valor de la lista</t>
        </r>
      </text>
    </comment>
    <comment ref="D758" authorId="2" shapeId="0" xr:uid="{FFFEB7F3-958F-4302-941F-36ABDA2D4C30}">
      <text>
        <r>
          <rPr>
            <sz val="11"/>
            <color theme="1"/>
            <rFont val="Calibri"/>
            <family val="2"/>
            <scheme val="minor"/>
          </rPr>
          <t>Introduzca un número con dos decimales como máximo. Debe ser igual o mayor a la "Cantidad Real Consumida"</t>
        </r>
      </text>
    </comment>
    <comment ref="E758" authorId="2" shapeId="0" xr:uid="{3C6D4C4D-69A3-4F74-AFBA-28E1577C5D43}">
      <text>
        <r>
          <rPr>
            <sz val="11"/>
            <color theme="1"/>
            <rFont val="Calibri"/>
            <family val="2"/>
            <scheme val="minor"/>
          </rPr>
          <t>Introduzca un número con dos decimales como máximo</t>
        </r>
      </text>
    </comment>
    <comment ref="F758" authorId="2" shapeId="0" xr:uid="{956E1142-6B7E-45F4-82AF-E45B400F999D}">
      <text>
        <r>
          <rPr>
            <sz val="11"/>
            <color theme="1"/>
            <rFont val="Calibri"/>
            <family val="2"/>
            <scheme val="minor"/>
          </rPr>
          <t>Monto calculado automáticamente por el sistema</t>
        </r>
      </text>
    </comment>
    <comment ref="A764" authorId="2" shapeId="0" xr:uid="{10B28B07-F6F1-4C2F-9FA3-7125ABC19E2A}">
      <text>
        <r>
          <rPr>
            <sz val="11"/>
            <color theme="1"/>
            <rFont val="Calibri"/>
            <family val="2"/>
            <scheme val="minor"/>
          </rPr>
          <t>Introducir un texto con el nombre o referencia de la contratación</t>
        </r>
      </text>
    </comment>
    <comment ref="B764" authorId="2" shapeId="0" xr:uid="{F099056F-135D-49CB-86F2-DB20CDE76C7A}">
      <text>
        <r>
          <rPr>
            <sz val="11"/>
            <color theme="1"/>
            <rFont val="Calibri"/>
            <family val="2"/>
            <scheme val="minor"/>
          </rPr>
          <t>Introduzca un texto con la finalidad de la contratación</t>
        </r>
      </text>
    </comment>
    <comment ref="C764" authorId="2" shapeId="0" xr:uid="{5C5CBBA6-A691-4A0F-B490-73B6845E1B32}">
      <text>
        <r>
          <rPr>
            <sz val="11"/>
            <color theme="1"/>
            <rFont val="Calibri"/>
            <family val="2"/>
            <scheme val="minor"/>
          </rPr>
          <t>Seleccionar un valor del listado</t>
        </r>
      </text>
    </comment>
    <comment ref="D764" authorId="2" shapeId="0" xr:uid="{A857E300-63E2-48AC-8956-F7C0F6F691AD}">
      <text>
        <r>
          <rPr>
            <sz val="11"/>
            <color theme="1"/>
            <rFont val="Calibri"/>
            <family val="2"/>
            <scheme val="minor"/>
          </rPr>
          <t>Seleccione el tipo de procedimiento</t>
        </r>
      </text>
    </comment>
    <comment ref="E764" authorId="2" shapeId="0" xr:uid="{3696A0E2-3A29-43F9-86DD-2FDF71DE3EB2}">
      <text>
        <r>
          <rPr>
            <sz val="11"/>
            <color theme="1"/>
            <rFont val="Calibri"/>
            <family val="2"/>
            <scheme val="minor"/>
          </rPr>
          <t>Seleccione un valor de la lista</t>
        </r>
      </text>
    </comment>
    <comment ref="F764" authorId="2" shapeId="0" xr:uid="{DC9EE80A-6105-48BF-ABC6-9197E39DE793}">
      <text>
        <r>
          <rPr>
            <sz val="11"/>
            <color theme="1"/>
            <rFont val="Calibri"/>
            <family val="2"/>
            <scheme val="minor"/>
          </rPr>
          <t>Introduzca el código SNIP</t>
        </r>
      </text>
    </comment>
    <comment ref="C765" authorId="2" shapeId="0" xr:uid="{171CD24E-F95E-4926-A58D-97A9DA3B5C80}">
      <text>
        <r>
          <rPr>
            <sz val="11"/>
            <color theme="1"/>
            <rFont val="Calibri"/>
            <family val="2"/>
            <scheme val="minor"/>
          </rPr>
          <t>Introduzca la fecha de inicio del proceso, en formato dd-mm-aaaa</t>
        </r>
      </text>
    </comment>
    <comment ref="F765" authorId="2" shapeId="0" xr:uid="{EE1A08FB-3BC9-4075-BAB4-FBC0EEC5A4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B1BD7C63-C30C-432F-9B46-D591768C8295}">
      <text/>
    </comment>
    <comment ref="C767" authorId="2" shapeId="0" xr:uid="{457017F7-DD1E-4E9A-8348-88C9E7013895}">
      <text>
        <r>
          <rPr>
            <sz val="11"/>
            <color theme="1"/>
            <rFont val="Calibri"/>
            <family val="2"/>
            <scheme val="minor"/>
          </rPr>
          <t>Introduzca la fecha prevista de adjudicación, en formato dd-mm-aaaa</t>
        </r>
      </text>
    </comment>
    <comment ref="F767" authorId="2" shapeId="0" xr:uid="{F27BAB69-C3F9-4205-AEF4-390870F340F9}">
      <text/>
    </comment>
    <comment ref="F768" authorId="2" shapeId="0" xr:uid="{AB5E3EAE-0D69-4988-9F80-B2003A884AA6}">
      <text/>
    </comment>
    <comment ref="A770" authorId="2" shapeId="0" xr:uid="{0754D2C3-576D-4404-9498-9FB7D33C7368}">
      <text>
        <r>
          <rPr>
            <sz val="11"/>
            <color theme="1"/>
            <rFont val="Calibri"/>
            <family val="2"/>
            <scheme val="minor"/>
          </rPr>
          <t>Introduzca un codigo UNSPSC</t>
        </r>
      </text>
    </comment>
    <comment ref="B770" authorId="2" shapeId="0" xr:uid="{7E0D73C8-5866-4CE0-A5BF-1FCDCC588391}">
      <text>
        <r>
          <rPr>
            <sz val="11"/>
            <color theme="1"/>
            <rFont val="Calibri"/>
            <family val="2"/>
            <scheme val="minor"/>
          </rPr>
          <t>Descripción calculada automáticamente a partir de código del artículo</t>
        </r>
      </text>
    </comment>
    <comment ref="C770" authorId="2" shapeId="0" xr:uid="{A2895F98-E838-4F40-BFB8-371959AF038A}">
      <text>
        <r>
          <rPr>
            <sz val="11"/>
            <color theme="1"/>
            <rFont val="Calibri"/>
            <family val="2"/>
            <scheme val="minor"/>
          </rPr>
          <t>Seleccione un valor de la lista</t>
        </r>
      </text>
    </comment>
    <comment ref="D770" authorId="2" shapeId="0" xr:uid="{600D06B1-8750-44D3-8F74-084C10C8ED37}">
      <text>
        <r>
          <rPr>
            <sz val="11"/>
            <color theme="1"/>
            <rFont val="Calibri"/>
            <family val="2"/>
            <scheme val="minor"/>
          </rPr>
          <t>Introduzca un número con dos decimales como máximo. Debe ser igual o mayor a la "Cantidad Real Consumida"</t>
        </r>
      </text>
    </comment>
    <comment ref="E770" authorId="2" shapeId="0" xr:uid="{4A731859-09C8-44CF-B0C9-39F73D392F8F}">
      <text>
        <r>
          <rPr>
            <sz val="11"/>
            <color theme="1"/>
            <rFont val="Calibri"/>
            <family val="2"/>
            <scheme val="minor"/>
          </rPr>
          <t>Introduzca un número con dos decimales como máximo</t>
        </r>
      </text>
    </comment>
    <comment ref="F770" authorId="2" shapeId="0" xr:uid="{3CD819E4-A46A-4296-967D-43C8C6D2116E}">
      <text>
        <r>
          <rPr>
            <sz val="11"/>
            <color theme="1"/>
            <rFont val="Calibri"/>
            <family val="2"/>
            <scheme val="minor"/>
          </rPr>
          <t>Monto calculado automáticamente por el sistema</t>
        </r>
      </text>
    </comment>
    <comment ref="A776" authorId="2" shapeId="0" xr:uid="{3C53668D-4CEF-408A-A34E-EC34608F4E7E}">
      <text>
        <r>
          <rPr>
            <sz val="11"/>
            <color theme="1"/>
            <rFont val="Calibri"/>
            <family val="2"/>
            <scheme val="minor"/>
          </rPr>
          <t>Introducir un texto con el nombre o referencia de la contratación</t>
        </r>
      </text>
    </comment>
    <comment ref="B776" authorId="2" shapeId="0" xr:uid="{05426EE8-7F4A-4469-B3A4-31E9A947D83B}">
      <text>
        <r>
          <rPr>
            <sz val="11"/>
            <color theme="1"/>
            <rFont val="Calibri"/>
            <family val="2"/>
            <scheme val="minor"/>
          </rPr>
          <t>Introduzca un texto con la finalidad de la contratación</t>
        </r>
      </text>
    </comment>
    <comment ref="C776" authorId="2" shapeId="0" xr:uid="{B57D8CC9-1E4D-4EAC-B9EC-21D3F949D9DF}">
      <text>
        <r>
          <rPr>
            <sz val="11"/>
            <color theme="1"/>
            <rFont val="Calibri"/>
            <family val="2"/>
            <scheme val="minor"/>
          </rPr>
          <t>Seleccionar un valor del listado</t>
        </r>
      </text>
    </comment>
    <comment ref="D776" authorId="2" shapeId="0" xr:uid="{93A88C94-9DF4-4F27-AA6C-9C44C8B2A017}">
      <text>
        <r>
          <rPr>
            <sz val="11"/>
            <color theme="1"/>
            <rFont val="Calibri"/>
            <family val="2"/>
            <scheme val="minor"/>
          </rPr>
          <t>Seleccione el tipo de procedimiento</t>
        </r>
      </text>
    </comment>
    <comment ref="E776" authorId="2" shapeId="0" xr:uid="{63E86BC8-5533-4D06-895F-387C57EBEB85}">
      <text>
        <r>
          <rPr>
            <sz val="11"/>
            <color theme="1"/>
            <rFont val="Calibri"/>
            <family val="2"/>
            <scheme val="minor"/>
          </rPr>
          <t>Seleccione un valor de la lista</t>
        </r>
      </text>
    </comment>
    <comment ref="F776" authorId="2" shapeId="0" xr:uid="{91D44E78-5105-45DC-ACEB-F75BE60E1F41}">
      <text>
        <r>
          <rPr>
            <sz val="11"/>
            <color theme="1"/>
            <rFont val="Calibri"/>
            <family val="2"/>
            <scheme val="minor"/>
          </rPr>
          <t>Introduzca el código SNIP</t>
        </r>
      </text>
    </comment>
    <comment ref="C777" authorId="2" shapeId="0" xr:uid="{42291C51-2C1A-4E06-A2CD-CFB19BEDFCD3}">
      <text>
        <r>
          <rPr>
            <sz val="11"/>
            <color theme="1"/>
            <rFont val="Calibri"/>
            <family val="2"/>
            <scheme val="minor"/>
          </rPr>
          <t>Introduzca la fecha de inicio del proceso, en formato dd-mm-aaaa</t>
        </r>
      </text>
    </comment>
    <comment ref="F777" authorId="2" shapeId="0" xr:uid="{3B763548-9A22-4F89-B7A9-6F6EA69AC8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363EA615-9DBA-44E8-AB75-34C89FFFEA3E}">
      <text/>
    </comment>
    <comment ref="C779" authorId="2" shapeId="0" xr:uid="{F05636A1-5761-4D5C-94D6-7378E3D1C39C}">
      <text>
        <r>
          <rPr>
            <sz val="11"/>
            <color theme="1"/>
            <rFont val="Calibri"/>
            <family val="2"/>
            <scheme val="minor"/>
          </rPr>
          <t>Introduzca la fecha prevista de adjudicación, en formato dd-mm-aaaa</t>
        </r>
      </text>
    </comment>
    <comment ref="F779" authorId="2" shapeId="0" xr:uid="{9BC8BA24-B1DE-4ED0-A878-4809DBB07F2A}">
      <text/>
    </comment>
    <comment ref="F780" authorId="2" shapeId="0" xr:uid="{CCD5D8D2-2CD3-4B5B-8595-EA622AA99FEF}">
      <text/>
    </comment>
    <comment ref="A782" authorId="2" shapeId="0" xr:uid="{71DCE728-83F7-4957-876C-520A84E51D11}">
      <text>
        <r>
          <rPr>
            <sz val="11"/>
            <color theme="1"/>
            <rFont val="Calibri"/>
            <family val="2"/>
            <scheme val="minor"/>
          </rPr>
          <t>Introduzca un codigo UNSPSC</t>
        </r>
      </text>
    </comment>
    <comment ref="B782" authorId="2" shapeId="0" xr:uid="{EB197962-EC9E-4579-82ED-19044645FDCC}">
      <text>
        <r>
          <rPr>
            <sz val="11"/>
            <color theme="1"/>
            <rFont val="Calibri"/>
            <family val="2"/>
            <scheme val="minor"/>
          </rPr>
          <t>Descripción calculada automáticamente a partir de código del artículo</t>
        </r>
      </text>
    </comment>
    <comment ref="C782" authorId="2" shapeId="0" xr:uid="{BB5925CC-4461-454A-AC98-66EA4D786A31}">
      <text>
        <r>
          <rPr>
            <sz val="11"/>
            <color theme="1"/>
            <rFont val="Calibri"/>
            <family val="2"/>
            <scheme val="minor"/>
          </rPr>
          <t>Seleccione un valor de la lista</t>
        </r>
      </text>
    </comment>
    <comment ref="D782" authorId="2" shapeId="0" xr:uid="{EE4B85A9-BAE0-4408-8D60-F608836AE11F}">
      <text>
        <r>
          <rPr>
            <sz val="11"/>
            <color theme="1"/>
            <rFont val="Calibri"/>
            <family val="2"/>
            <scheme val="minor"/>
          </rPr>
          <t>Introduzca un número con dos decimales como máximo. Debe ser igual o mayor a la "Cantidad Real Consumida"</t>
        </r>
      </text>
    </comment>
    <comment ref="E782" authorId="2" shapeId="0" xr:uid="{7BC762DB-7024-474C-A487-52B846C3BE16}">
      <text>
        <r>
          <rPr>
            <sz val="11"/>
            <color theme="1"/>
            <rFont val="Calibri"/>
            <family val="2"/>
            <scheme val="minor"/>
          </rPr>
          <t>Introduzca un número con dos decimales como máximo</t>
        </r>
      </text>
    </comment>
    <comment ref="F782" authorId="2" shapeId="0" xr:uid="{60D2562D-F007-41BE-BE03-5BDD72DEB946}">
      <text>
        <r>
          <rPr>
            <sz val="11"/>
            <color theme="1"/>
            <rFont val="Calibri"/>
            <family val="2"/>
            <scheme val="minor"/>
          </rPr>
          <t>Monto calculado automáticamente por el sistema</t>
        </r>
      </text>
    </comment>
    <comment ref="A790" authorId="2" shapeId="0" xr:uid="{C861F894-57F2-4F49-B64D-53580D36FDE5}">
      <text>
        <r>
          <rPr>
            <sz val="11"/>
            <color theme="1"/>
            <rFont val="Calibri"/>
            <family val="2"/>
            <scheme val="minor"/>
          </rPr>
          <t>Introducir un texto con el nombre o referencia de la contratación</t>
        </r>
      </text>
    </comment>
    <comment ref="B790" authorId="2" shapeId="0" xr:uid="{76AE2429-25FA-41DB-A99C-4308F2297470}">
      <text>
        <r>
          <rPr>
            <sz val="11"/>
            <color theme="1"/>
            <rFont val="Calibri"/>
            <family val="2"/>
            <scheme val="minor"/>
          </rPr>
          <t>Introduzca un texto con la finalidad de la contratación</t>
        </r>
      </text>
    </comment>
    <comment ref="C790" authorId="2" shapeId="0" xr:uid="{18ECB901-C605-4900-AB08-87D29940232A}">
      <text>
        <r>
          <rPr>
            <sz val="11"/>
            <color theme="1"/>
            <rFont val="Calibri"/>
            <family val="2"/>
            <scheme val="minor"/>
          </rPr>
          <t>Seleccionar un valor del listado</t>
        </r>
      </text>
    </comment>
    <comment ref="D790" authorId="2" shapeId="0" xr:uid="{120A9C76-8FE8-4821-8CB5-57038298778B}">
      <text>
        <r>
          <rPr>
            <sz val="11"/>
            <color theme="1"/>
            <rFont val="Calibri"/>
            <family val="2"/>
            <scheme val="minor"/>
          </rPr>
          <t>Seleccione el tipo de procedimiento</t>
        </r>
      </text>
    </comment>
    <comment ref="E790" authorId="2" shapeId="0" xr:uid="{9DB3CAE0-DBBC-4D1C-8098-03A6B7AADA7E}">
      <text>
        <r>
          <rPr>
            <sz val="11"/>
            <color theme="1"/>
            <rFont val="Calibri"/>
            <family val="2"/>
            <scheme val="minor"/>
          </rPr>
          <t>Seleccione un valor de la lista</t>
        </r>
      </text>
    </comment>
    <comment ref="F790" authorId="2" shapeId="0" xr:uid="{DD3D1E50-D16A-4716-A094-A58284A295D0}">
      <text>
        <r>
          <rPr>
            <sz val="11"/>
            <color theme="1"/>
            <rFont val="Calibri"/>
            <family val="2"/>
            <scheme val="minor"/>
          </rPr>
          <t>Introduzca el código SNIP</t>
        </r>
      </text>
    </comment>
    <comment ref="C791" authorId="2" shapeId="0" xr:uid="{734AB1D3-2961-4FFA-9029-B8EB05CC634C}">
      <text>
        <r>
          <rPr>
            <sz val="11"/>
            <color theme="1"/>
            <rFont val="Calibri"/>
            <family val="2"/>
            <scheme val="minor"/>
          </rPr>
          <t>Introduzca la fecha de inicio del proceso, en formato dd-mm-aaaa</t>
        </r>
      </text>
    </comment>
    <comment ref="F791" authorId="2" shapeId="0" xr:uid="{7FC60D8B-6337-420D-ABD2-EDC1BD8AF3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2" shapeId="0" xr:uid="{B71ED0F5-21A0-4999-87DA-5A3E6E72B7CE}">
      <text/>
    </comment>
    <comment ref="C793" authorId="2" shapeId="0" xr:uid="{0BEEA2C3-E440-4393-B7A5-2237CE110760}">
      <text>
        <r>
          <rPr>
            <sz val="11"/>
            <color theme="1"/>
            <rFont val="Calibri"/>
            <family val="2"/>
            <scheme val="minor"/>
          </rPr>
          <t>Introduzca la fecha prevista de adjudicación, en formato dd-mm-aaaa</t>
        </r>
      </text>
    </comment>
    <comment ref="F793" authorId="2" shapeId="0" xr:uid="{8B05FA0A-4E1C-4631-AA5E-4E99E0D0E9AE}">
      <text/>
    </comment>
    <comment ref="F794" authorId="2" shapeId="0" xr:uid="{B548FD5A-05EC-4B57-A78C-BC0C41AC3646}">
      <text/>
    </comment>
    <comment ref="A796" authorId="2" shapeId="0" xr:uid="{00A82A48-637B-4628-8E59-A22145FB5ADB}">
      <text>
        <r>
          <rPr>
            <sz val="11"/>
            <color theme="1"/>
            <rFont val="Calibri"/>
            <family val="2"/>
            <scheme val="minor"/>
          </rPr>
          <t>Introduzca un codigo UNSPSC</t>
        </r>
      </text>
    </comment>
    <comment ref="B796" authorId="2" shapeId="0" xr:uid="{B82B3DEF-DC5A-42D8-A8D5-64D5B129BDA8}">
      <text>
        <r>
          <rPr>
            <sz val="11"/>
            <color theme="1"/>
            <rFont val="Calibri"/>
            <family val="2"/>
            <scheme val="minor"/>
          </rPr>
          <t>Descripción calculada automáticamente a partir de código del artículo</t>
        </r>
      </text>
    </comment>
    <comment ref="C796" authorId="2" shapeId="0" xr:uid="{DC1C5B78-36D4-4B7C-93D5-E6207D3E1781}">
      <text>
        <r>
          <rPr>
            <sz val="11"/>
            <color theme="1"/>
            <rFont val="Calibri"/>
            <family val="2"/>
            <scheme val="minor"/>
          </rPr>
          <t>Seleccione un valor de la lista</t>
        </r>
      </text>
    </comment>
    <comment ref="D796" authorId="2" shapeId="0" xr:uid="{2CDF2DCD-0DC3-4EFE-9C0E-76B6D850D301}">
      <text>
        <r>
          <rPr>
            <sz val="11"/>
            <color theme="1"/>
            <rFont val="Calibri"/>
            <family val="2"/>
            <scheme val="minor"/>
          </rPr>
          <t>Introduzca un número con dos decimales como máximo. Debe ser igual o mayor a la "Cantidad Real Consumida"</t>
        </r>
      </text>
    </comment>
    <comment ref="E796" authorId="2" shapeId="0" xr:uid="{D19C8FF0-3282-412B-8540-04AB474A5185}">
      <text>
        <r>
          <rPr>
            <sz val="11"/>
            <color theme="1"/>
            <rFont val="Calibri"/>
            <family val="2"/>
            <scheme val="minor"/>
          </rPr>
          <t>Introduzca un número con dos decimales como máximo</t>
        </r>
      </text>
    </comment>
    <comment ref="F796" authorId="2" shapeId="0" xr:uid="{DF2ECD10-65A2-4344-B2BB-2D20BA0AB99A}">
      <text>
        <r>
          <rPr>
            <sz val="11"/>
            <color theme="1"/>
            <rFont val="Calibri"/>
            <family val="2"/>
            <scheme val="minor"/>
          </rPr>
          <t>Monto calculado automáticamente por el sistema</t>
        </r>
      </text>
    </comment>
    <comment ref="A806" authorId="2" shapeId="0" xr:uid="{3C7FA311-498C-4AAC-8E04-11BFA826AD57}">
      <text>
        <r>
          <rPr>
            <sz val="11"/>
            <color theme="1"/>
            <rFont val="Calibri"/>
            <family val="2"/>
            <scheme val="minor"/>
          </rPr>
          <t>Introducir un texto con el nombre o referencia de la contratación</t>
        </r>
      </text>
    </comment>
    <comment ref="B806" authorId="2" shapeId="0" xr:uid="{6586AA18-DD64-4AB6-B1AB-877A18508E57}">
      <text>
        <r>
          <rPr>
            <sz val="11"/>
            <color theme="1"/>
            <rFont val="Calibri"/>
            <family val="2"/>
            <scheme val="minor"/>
          </rPr>
          <t>Introduzca un texto con la finalidad de la contratación</t>
        </r>
      </text>
    </comment>
    <comment ref="C806" authorId="2" shapeId="0" xr:uid="{07EF873F-5C9E-4075-9906-84D301FE6A24}">
      <text>
        <r>
          <rPr>
            <sz val="11"/>
            <color theme="1"/>
            <rFont val="Calibri"/>
            <family val="2"/>
            <scheme val="minor"/>
          </rPr>
          <t>Seleccionar un valor del listado</t>
        </r>
      </text>
    </comment>
    <comment ref="D806" authorId="2" shapeId="0" xr:uid="{5C362EC3-3C70-483A-B062-C5CE5E5F5632}">
      <text>
        <r>
          <rPr>
            <sz val="11"/>
            <color theme="1"/>
            <rFont val="Calibri"/>
            <family val="2"/>
            <scheme val="minor"/>
          </rPr>
          <t>Seleccione el tipo de procedimiento</t>
        </r>
      </text>
    </comment>
    <comment ref="E806" authorId="2" shapeId="0" xr:uid="{C89CB2CA-F711-4720-89AE-B363E1E62D4E}">
      <text>
        <r>
          <rPr>
            <sz val="11"/>
            <color theme="1"/>
            <rFont val="Calibri"/>
            <family val="2"/>
            <scheme val="minor"/>
          </rPr>
          <t>Seleccione un valor de la lista</t>
        </r>
      </text>
    </comment>
    <comment ref="F806" authorId="2" shapeId="0" xr:uid="{61150541-12BA-4831-A75D-C2E62CF27980}">
      <text>
        <r>
          <rPr>
            <sz val="11"/>
            <color theme="1"/>
            <rFont val="Calibri"/>
            <family val="2"/>
            <scheme val="minor"/>
          </rPr>
          <t>Introduzca el código SNIP</t>
        </r>
      </text>
    </comment>
    <comment ref="C807" authorId="2" shapeId="0" xr:uid="{DDA088F4-1730-49E6-A316-FBC740E5BB16}">
      <text>
        <r>
          <rPr>
            <sz val="11"/>
            <color theme="1"/>
            <rFont val="Calibri"/>
            <family val="2"/>
            <scheme val="minor"/>
          </rPr>
          <t>Introduzca la fecha de inicio del proceso, en formato dd-mm-aaaa</t>
        </r>
      </text>
    </comment>
    <comment ref="F807" authorId="2" shapeId="0" xr:uid="{AA873FBD-6C67-49F0-8893-DA251F516C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2" shapeId="0" xr:uid="{6D9B44D9-DF5A-40E8-B2EB-FB07E9033AC8}">
      <text/>
    </comment>
    <comment ref="C809" authorId="2" shapeId="0" xr:uid="{B0DDA4D7-C64A-4C09-8D8F-BE2A903092DD}">
      <text>
        <r>
          <rPr>
            <sz val="11"/>
            <color theme="1"/>
            <rFont val="Calibri"/>
            <family val="2"/>
            <scheme val="minor"/>
          </rPr>
          <t>Introduzca la fecha prevista de adjudicación, en formato dd-mm-aaaa</t>
        </r>
      </text>
    </comment>
    <comment ref="F809" authorId="2" shapeId="0" xr:uid="{D2CAE83C-F5C2-49D7-BDA3-8E174893269B}">
      <text/>
    </comment>
    <comment ref="F810" authorId="2" shapeId="0" xr:uid="{9849F864-8BAB-4FA0-A138-0709CDF1743E}">
      <text/>
    </comment>
    <comment ref="A812" authorId="2" shapeId="0" xr:uid="{C0804F79-7387-491F-B07D-7641984636D6}">
      <text>
        <r>
          <rPr>
            <sz val="11"/>
            <color theme="1"/>
            <rFont val="Calibri"/>
            <family val="2"/>
            <scheme val="minor"/>
          </rPr>
          <t>Introduzca un codigo UNSPSC</t>
        </r>
      </text>
    </comment>
    <comment ref="B812" authorId="2" shapeId="0" xr:uid="{EF6306A5-48B5-4A18-9580-4400D3881631}">
      <text>
        <r>
          <rPr>
            <sz val="11"/>
            <color theme="1"/>
            <rFont val="Calibri"/>
            <family val="2"/>
            <scheme val="minor"/>
          </rPr>
          <t>Descripción calculada automáticamente a partir de código del artículo</t>
        </r>
      </text>
    </comment>
    <comment ref="C812" authorId="2" shapeId="0" xr:uid="{4D90BE2B-FE24-4723-A657-18E98C1C5CE0}">
      <text>
        <r>
          <rPr>
            <sz val="11"/>
            <color theme="1"/>
            <rFont val="Calibri"/>
            <family val="2"/>
            <scheme val="minor"/>
          </rPr>
          <t>Seleccione un valor de la lista</t>
        </r>
      </text>
    </comment>
    <comment ref="D812" authorId="2" shapeId="0" xr:uid="{05519D88-D795-4230-B25D-46C472F5EAE0}">
      <text>
        <r>
          <rPr>
            <sz val="11"/>
            <color theme="1"/>
            <rFont val="Calibri"/>
            <family val="2"/>
            <scheme val="minor"/>
          </rPr>
          <t>Introduzca un número con dos decimales como máximo. Debe ser igual o mayor a la "Cantidad Real Consumida"</t>
        </r>
      </text>
    </comment>
    <comment ref="E812" authorId="2" shapeId="0" xr:uid="{3001E38E-CC27-41BC-AFFB-7AFF1B01EE87}">
      <text>
        <r>
          <rPr>
            <sz val="11"/>
            <color theme="1"/>
            <rFont val="Calibri"/>
            <family val="2"/>
            <scheme val="minor"/>
          </rPr>
          <t>Introduzca un número con dos decimales como máximo</t>
        </r>
      </text>
    </comment>
    <comment ref="F812" authorId="2" shapeId="0" xr:uid="{ACAE3444-6570-4144-85C8-9ECFE1EA2636}">
      <text>
        <r>
          <rPr>
            <sz val="11"/>
            <color theme="1"/>
            <rFont val="Calibri"/>
            <family val="2"/>
            <scheme val="minor"/>
          </rPr>
          <t>Monto calculado automáticamente por el sistema</t>
        </r>
      </text>
    </comment>
    <comment ref="A820" authorId="2" shapeId="0" xr:uid="{E1F3AFD6-B47B-483C-B320-309AAEC451CB}">
      <text>
        <r>
          <rPr>
            <sz val="11"/>
            <color theme="1"/>
            <rFont val="Calibri"/>
            <family val="2"/>
            <scheme val="minor"/>
          </rPr>
          <t>Introducir un texto con el nombre o referencia de la contratación</t>
        </r>
      </text>
    </comment>
    <comment ref="B820" authorId="2" shapeId="0" xr:uid="{98A2FCB9-8D35-4082-9F9E-83B1A5D9086D}">
      <text>
        <r>
          <rPr>
            <sz val="11"/>
            <color theme="1"/>
            <rFont val="Calibri"/>
            <family val="2"/>
            <scheme val="minor"/>
          </rPr>
          <t>Introduzca un texto con la finalidad de la contratación</t>
        </r>
      </text>
    </comment>
    <comment ref="C820" authorId="2" shapeId="0" xr:uid="{3E1F0983-3BC5-4AA8-AC6A-CAF31768844C}">
      <text>
        <r>
          <rPr>
            <sz val="11"/>
            <color theme="1"/>
            <rFont val="Calibri"/>
            <family val="2"/>
            <scheme val="minor"/>
          </rPr>
          <t>Seleccionar un valor del listado</t>
        </r>
      </text>
    </comment>
    <comment ref="D820" authorId="2" shapeId="0" xr:uid="{9971AFD5-7F5F-4E8E-BD6E-308F6E70EE24}">
      <text>
        <r>
          <rPr>
            <sz val="11"/>
            <color theme="1"/>
            <rFont val="Calibri"/>
            <family val="2"/>
            <scheme val="minor"/>
          </rPr>
          <t>Seleccione el tipo de procedimiento</t>
        </r>
      </text>
    </comment>
    <comment ref="E820" authorId="2" shapeId="0" xr:uid="{B7A520F9-04AD-4DC4-BC35-291CCE9362F7}">
      <text>
        <r>
          <rPr>
            <sz val="11"/>
            <color theme="1"/>
            <rFont val="Calibri"/>
            <family val="2"/>
            <scheme val="minor"/>
          </rPr>
          <t>Seleccione un valor de la lista</t>
        </r>
      </text>
    </comment>
    <comment ref="F820" authorId="2" shapeId="0" xr:uid="{D19F2897-F068-43E2-9CE1-C37E7CDE2138}">
      <text>
        <r>
          <rPr>
            <sz val="11"/>
            <color theme="1"/>
            <rFont val="Calibri"/>
            <family val="2"/>
            <scheme val="minor"/>
          </rPr>
          <t>Introduzca el código SNIP</t>
        </r>
      </text>
    </comment>
    <comment ref="C821" authorId="2" shapeId="0" xr:uid="{1A70B66E-2BBE-46BA-9DAA-738F24420006}">
      <text>
        <r>
          <rPr>
            <sz val="11"/>
            <color theme="1"/>
            <rFont val="Calibri"/>
            <family val="2"/>
            <scheme val="minor"/>
          </rPr>
          <t>Introduzca la fecha de inicio del proceso, en formato dd-mm-aaaa</t>
        </r>
      </text>
    </comment>
    <comment ref="F821" authorId="2" shapeId="0" xr:uid="{98F2CA4D-E186-4B16-9930-C8A0B37CD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xr:uid="{22B34B94-2C8E-436C-998C-1BB30306718E}">
      <text/>
    </comment>
    <comment ref="C823" authorId="2" shapeId="0" xr:uid="{978A52DA-A106-4941-B8F9-760AB345FEB6}">
      <text>
        <r>
          <rPr>
            <sz val="11"/>
            <color theme="1"/>
            <rFont val="Calibri"/>
            <family val="2"/>
            <scheme val="minor"/>
          </rPr>
          <t>Introduzca la fecha prevista de adjudicación, en formato dd-mm-aaaa</t>
        </r>
      </text>
    </comment>
    <comment ref="F823" authorId="2" shapeId="0" xr:uid="{9654D511-08B8-42AA-9594-78F1DB89B5F3}">
      <text/>
    </comment>
    <comment ref="F824" authorId="2" shapeId="0" xr:uid="{8F6D88B4-139D-40BF-A03B-502856F48CC3}">
      <text/>
    </comment>
    <comment ref="A826" authorId="2" shapeId="0" xr:uid="{7A799610-2B47-4AA3-AF28-B149E6E1D6BC}">
      <text>
        <r>
          <rPr>
            <sz val="11"/>
            <color theme="1"/>
            <rFont val="Calibri"/>
            <family val="2"/>
            <scheme val="minor"/>
          </rPr>
          <t>Introduzca un codigo UNSPSC</t>
        </r>
      </text>
    </comment>
    <comment ref="B826" authorId="2" shapeId="0" xr:uid="{871A3201-FE06-4A90-BAEF-6EBCE610B832}">
      <text>
        <r>
          <rPr>
            <sz val="11"/>
            <color theme="1"/>
            <rFont val="Calibri"/>
            <family val="2"/>
            <scheme val="minor"/>
          </rPr>
          <t>Descripción calculada automáticamente a partir de código del artículo</t>
        </r>
      </text>
    </comment>
    <comment ref="C826" authorId="2" shapeId="0" xr:uid="{B319FE17-5E96-4083-95FA-3F9D7F485937}">
      <text>
        <r>
          <rPr>
            <sz val="11"/>
            <color theme="1"/>
            <rFont val="Calibri"/>
            <family val="2"/>
            <scheme val="minor"/>
          </rPr>
          <t>Seleccione un valor de la lista</t>
        </r>
      </text>
    </comment>
    <comment ref="D826" authorId="2" shapeId="0" xr:uid="{98B1D2D9-4E73-45E6-A1F2-9B439FA26271}">
      <text>
        <r>
          <rPr>
            <sz val="11"/>
            <color theme="1"/>
            <rFont val="Calibri"/>
            <family val="2"/>
            <scheme val="minor"/>
          </rPr>
          <t>Introduzca un número con dos decimales como máximo. Debe ser igual o mayor a la "Cantidad Real Consumida"</t>
        </r>
      </text>
    </comment>
    <comment ref="E826" authorId="2" shapeId="0" xr:uid="{99822397-90C3-4944-ADF2-3185483CD996}">
      <text>
        <r>
          <rPr>
            <sz val="11"/>
            <color theme="1"/>
            <rFont val="Calibri"/>
            <family val="2"/>
            <scheme val="minor"/>
          </rPr>
          <t>Introduzca un número con dos decimales como máximo</t>
        </r>
      </text>
    </comment>
    <comment ref="F826" authorId="2" shapeId="0" xr:uid="{35C0B0E2-61ED-4D41-A0D7-62B78CA46E3C}">
      <text>
        <r>
          <rPr>
            <sz val="11"/>
            <color theme="1"/>
            <rFont val="Calibri"/>
            <family val="2"/>
            <scheme val="minor"/>
          </rPr>
          <t>Monto calculado automáticamente por el sistema</t>
        </r>
      </text>
    </comment>
    <comment ref="A836" authorId="2" shapeId="0" xr:uid="{9C28AB8E-54B2-4F30-92C9-4F1136C84A4A}">
      <text>
        <r>
          <rPr>
            <sz val="11"/>
            <color theme="1"/>
            <rFont val="Calibri"/>
            <family val="2"/>
            <scheme val="minor"/>
          </rPr>
          <t>Introducir un texto con el nombre o referencia de la contratación</t>
        </r>
      </text>
    </comment>
    <comment ref="B836" authorId="2" shapeId="0" xr:uid="{1CCBB243-BF5A-4E5E-8F4E-503B53DDFE77}">
      <text>
        <r>
          <rPr>
            <sz val="11"/>
            <color theme="1"/>
            <rFont val="Calibri"/>
            <family val="2"/>
            <scheme val="minor"/>
          </rPr>
          <t>Introduzca un texto con la finalidad de la contratación</t>
        </r>
      </text>
    </comment>
    <comment ref="C836" authorId="2" shapeId="0" xr:uid="{55FC8116-E70C-4484-A8B8-3F9B241D8F67}">
      <text>
        <r>
          <rPr>
            <sz val="11"/>
            <color theme="1"/>
            <rFont val="Calibri"/>
            <family val="2"/>
            <scheme val="minor"/>
          </rPr>
          <t>Seleccionar un valor del listado</t>
        </r>
      </text>
    </comment>
    <comment ref="D836" authorId="2" shapeId="0" xr:uid="{60B7918F-1798-4098-82AE-7D2F06374B58}">
      <text>
        <r>
          <rPr>
            <sz val="11"/>
            <color theme="1"/>
            <rFont val="Calibri"/>
            <family val="2"/>
            <scheme val="minor"/>
          </rPr>
          <t>Seleccione el tipo de procedimiento</t>
        </r>
      </text>
    </comment>
    <comment ref="E836" authorId="2" shapeId="0" xr:uid="{AE0A4F30-E179-46AC-8404-778C3C8845A2}">
      <text>
        <r>
          <rPr>
            <sz val="11"/>
            <color theme="1"/>
            <rFont val="Calibri"/>
            <family val="2"/>
            <scheme val="minor"/>
          </rPr>
          <t>Seleccione un valor de la lista</t>
        </r>
      </text>
    </comment>
    <comment ref="F836" authorId="2" shapeId="0" xr:uid="{D168710A-D8B7-481F-BEA5-0E8D37AC8A4B}">
      <text>
        <r>
          <rPr>
            <sz val="11"/>
            <color theme="1"/>
            <rFont val="Calibri"/>
            <family val="2"/>
            <scheme val="minor"/>
          </rPr>
          <t>Introduzca el código SNIP</t>
        </r>
      </text>
    </comment>
    <comment ref="C837" authorId="2" shapeId="0" xr:uid="{FA9459F7-1BD4-44F1-922F-3CA34E63AD3B}">
      <text>
        <r>
          <rPr>
            <sz val="11"/>
            <color theme="1"/>
            <rFont val="Calibri"/>
            <family val="2"/>
            <scheme val="minor"/>
          </rPr>
          <t>Introduzca la fecha de inicio del proceso, en formato dd-mm-aaaa</t>
        </r>
      </text>
    </comment>
    <comment ref="F837" authorId="2" shapeId="0" xr:uid="{A587B809-9258-4F91-88D1-22E34E77E2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shapeId="0" xr:uid="{6B16E12B-D82F-42A4-90EA-DFB7423A4896}">
      <text/>
    </comment>
    <comment ref="C839" authorId="2" shapeId="0" xr:uid="{367EBFA7-578D-4270-A39F-6DB0963BE91B}">
      <text>
        <r>
          <rPr>
            <sz val="11"/>
            <color theme="1"/>
            <rFont val="Calibri"/>
            <family val="2"/>
            <scheme val="minor"/>
          </rPr>
          <t>Introduzca la fecha prevista de adjudicación, en formato dd-mm-aaaa</t>
        </r>
      </text>
    </comment>
    <comment ref="F839" authorId="2" shapeId="0" xr:uid="{2343CDE9-EA4D-42A7-AC04-D3DED8FDBC28}">
      <text/>
    </comment>
    <comment ref="F840" authorId="2" shapeId="0" xr:uid="{0E33D71C-18F6-40A5-86E8-5F95FF7F9231}">
      <text/>
    </comment>
    <comment ref="A842" authorId="2" shapeId="0" xr:uid="{2C53C094-1617-48D9-B2C3-3170DA6FA4E8}">
      <text>
        <r>
          <rPr>
            <sz val="11"/>
            <color theme="1"/>
            <rFont val="Calibri"/>
            <family val="2"/>
            <scheme val="minor"/>
          </rPr>
          <t>Introduzca un codigo UNSPSC</t>
        </r>
      </text>
    </comment>
    <comment ref="B842" authorId="2" shapeId="0" xr:uid="{21E845B3-02D4-4C75-8873-856AB7EE976E}">
      <text>
        <r>
          <rPr>
            <sz val="11"/>
            <color theme="1"/>
            <rFont val="Calibri"/>
            <family val="2"/>
            <scheme val="minor"/>
          </rPr>
          <t>Descripción calculada automáticamente a partir de código del artículo</t>
        </r>
      </text>
    </comment>
    <comment ref="C842" authorId="2" shapeId="0" xr:uid="{E2E816F4-A767-4B88-9514-A76B8FC999F1}">
      <text>
        <r>
          <rPr>
            <sz val="11"/>
            <color theme="1"/>
            <rFont val="Calibri"/>
            <family val="2"/>
            <scheme val="minor"/>
          </rPr>
          <t>Seleccione un valor de la lista</t>
        </r>
      </text>
    </comment>
    <comment ref="D842" authorId="2" shapeId="0" xr:uid="{D0A441D1-8C29-497C-B7AE-81FA9691F63A}">
      <text>
        <r>
          <rPr>
            <sz val="11"/>
            <color theme="1"/>
            <rFont val="Calibri"/>
            <family val="2"/>
            <scheme val="minor"/>
          </rPr>
          <t>Introduzca un número con dos decimales como máximo. Debe ser igual o mayor a la "Cantidad Real Consumida"</t>
        </r>
      </text>
    </comment>
    <comment ref="E842" authorId="2" shapeId="0" xr:uid="{7806F2E2-9659-4B57-B50E-2489909929F3}">
      <text>
        <r>
          <rPr>
            <sz val="11"/>
            <color theme="1"/>
            <rFont val="Calibri"/>
            <family val="2"/>
            <scheme val="minor"/>
          </rPr>
          <t>Introduzca un número con dos decimales como máximo</t>
        </r>
      </text>
    </comment>
    <comment ref="F842" authorId="2" shapeId="0" xr:uid="{4EBA4EBA-43F7-4847-97C8-30F7C3227CE4}">
      <text>
        <r>
          <rPr>
            <sz val="11"/>
            <color theme="1"/>
            <rFont val="Calibri"/>
            <family val="2"/>
            <scheme val="minor"/>
          </rPr>
          <t>Monto calculado automáticamente por el sistema</t>
        </r>
      </text>
    </comment>
    <comment ref="A847" authorId="2" shapeId="0" xr:uid="{403C9861-5251-4536-B5DB-BFEF1A6E6293}">
      <text>
        <r>
          <rPr>
            <sz val="11"/>
            <color theme="1"/>
            <rFont val="Calibri"/>
            <family val="2"/>
            <scheme val="minor"/>
          </rPr>
          <t>Introducir un texto con el nombre o referencia de la contratación</t>
        </r>
      </text>
    </comment>
    <comment ref="B847" authorId="2" shapeId="0" xr:uid="{93047EB1-7221-429D-ABD9-2F879817ACC3}">
      <text>
        <r>
          <rPr>
            <sz val="11"/>
            <color theme="1"/>
            <rFont val="Calibri"/>
            <family val="2"/>
            <scheme val="minor"/>
          </rPr>
          <t>Introduzca un texto con la finalidad de la contratación</t>
        </r>
      </text>
    </comment>
    <comment ref="C847" authorId="2" shapeId="0" xr:uid="{CEFE5D5F-483D-4B51-A2FF-5446A09DE5BF}">
      <text>
        <r>
          <rPr>
            <sz val="11"/>
            <color theme="1"/>
            <rFont val="Calibri"/>
            <family val="2"/>
            <scheme val="minor"/>
          </rPr>
          <t>Seleccionar un valor del listado</t>
        </r>
      </text>
    </comment>
    <comment ref="D847" authorId="2" shapeId="0" xr:uid="{3498761B-BD1F-448C-98E4-CFA1727F9542}">
      <text>
        <r>
          <rPr>
            <sz val="11"/>
            <color theme="1"/>
            <rFont val="Calibri"/>
            <family val="2"/>
            <scheme val="minor"/>
          </rPr>
          <t>Seleccione el tipo de procedimiento</t>
        </r>
      </text>
    </comment>
    <comment ref="E847" authorId="2" shapeId="0" xr:uid="{0EDDABEE-E602-41C1-AC02-E88DD64F3E38}">
      <text>
        <r>
          <rPr>
            <sz val="11"/>
            <color theme="1"/>
            <rFont val="Calibri"/>
            <family val="2"/>
            <scheme val="minor"/>
          </rPr>
          <t>Seleccione un valor de la lista</t>
        </r>
      </text>
    </comment>
    <comment ref="F847" authorId="2" shapeId="0" xr:uid="{6C83C85C-8B58-40EB-98A3-3F90BD358CB6}">
      <text>
        <r>
          <rPr>
            <sz val="11"/>
            <color theme="1"/>
            <rFont val="Calibri"/>
            <family val="2"/>
            <scheme val="minor"/>
          </rPr>
          <t>Introduzca el código SNIP</t>
        </r>
      </text>
    </comment>
    <comment ref="C848" authorId="2" shapeId="0" xr:uid="{466042D7-3642-453B-9F4C-8BC9D9E97775}">
      <text>
        <r>
          <rPr>
            <sz val="11"/>
            <color theme="1"/>
            <rFont val="Calibri"/>
            <family val="2"/>
            <scheme val="minor"/>
          </rPr>
          <t>Introduzca la fecha de inicio del proceso, en formato dd-mm-aaaa</t>
        </r>
      </text>
    </comment>
    <comment ref="F848" authorId="2" shapeId="0" xr:uid="{9EA329E4-A19D-43B4-A3AC-85E3D050DF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2" shapeId="0" xr:uid="{7A1FB69C-3D10-4B35-ABAB-5EE3AB2BFDAE}">
      <text/>
    </comment>
    <comment ref="C850" authorId="2" shapeId="0" xr:uid="{4B0E23B7-4797-4B26-BE9E-0F451445E27F}">
      <text>
        <r>
          <rPr>
            <sz val="11"/>
            <color theme="1"/>
            <rFont val="Calibri"/>
            <family val="2"/>
            <scheme val="minor"/>
          </rPr>
          <t>Introduzca la fecha prevista de adjudicación, en formato dd-mm-aaaa</t>
        </r>
      </text>
    </comment>
    <comment ref="F850" authorId="2" shapeId="0" xr:uid="{7D9D6AF1-3CCC-4D89-8159-D05E3488122D}">
      <text/>
    </comment>
    <comment ref="F851" authorId="2" shapeId="0" xr:uid="{29FA153B-6884-4CBB-9784-13C25A380CDC}">
      <text/>
    </comment>
    <comment ref="A853" authorId="2" shapeId="0" xr:uid="{39617138-4534-4F27-8B88-ACA1058C719A}">
      <text>
        <r>
          <rPr>
            <sz val="11"/>
            <color theme="1"/>
            <rFont val="Calibri"/>
            <family val="2"/>
            <scheme val="minor"/>
          </rPr>
          <t>Introduzca un codigo UNSPSC</t>
        </r>
      </text>
    </comment>
    <comment ref="B853" authorId="2" shapeId="0" xr:uid="{BC25102D-02CF-433A-9BC6-FCB7794F925B}">
      <text>
        <r>
          <rPr>
            <sz val="11"/>
            <color theme="1"/>
            <rFont val="Calibri"/>
            <family val="2"/>
            <scheme val="minor"/>
          </rPr>
          <t>Descripción calculada automáticamente a partir de código del artículo</t>
        </r>
      </text>
    </comment>
    <comment ref="C853" authorId="2" shapeId="0" xr:uid="{D2B66FF6-B0A5-48C5-8AA2-00B3FEAC4D81}">
      <text>
        <r>
          <rPr>
            <sz val="11"/>
            <color theme="1"/>
            <rFont val="Calibri"/>
            <family val="2"/>
            <scheme val="minor"/>
          </rPr>
          <t>Seleccione un valor de la lista</t>
        </r>
      </text>
    </comment>
    <comment ref="D853" authorId="2" shapeId="0" xr:uid="{37C9E991-1D6B-44BD-89BD-073AA9140E6A}">
      <text>
        <r>
          <rPr>
            <sz val="11"/>
            <color theme="1"/>
            <rFont val="Calibri"/>
            <family val="2"/>
            <scheme val="minor"/>
          </rPr>
          <t>Introduzca un número con dos decimales como máximo. Debe ser igual o mayor a la "Cantidad Real Consumida"</t>
        </r>
      </text>
    </comment>
    <comment ref="E853" authorId="2" shapeId="0" xr:uid="{B19AD4A5-69EB-4C51-80EB-E860A4DD3DF2}">
      <text>
        <r>
          <rPr>
            <sz val="11"/>
            <color theme="1"/>
            <rFont val="Calibri"/>
            <family val="2"/>
            <scheme val="minor"/>
          </rPr>
          <t>Introduzca un número con dos decimales como máximo</t>
        </r>
      </text>
    </comment>
    <comment ref="F853" authorId="2" shapeId="0" xr:uid="{63D0ECEC-005E-403E-ABAE-65F8805AF4D9}">
      <text>
        <r>
          <rPr>
            <sz val="11"/>
            <color theme="1"/>
            <rFont val="Calibri"/>
            <family val="2"/>
            <scheme val="minor"/>
          </rPr>
          <t>Monto calculado automáticamente por el sistema</t>
        </r>
      </text>
    </comment>
    <comment ref="A858" authorId="2" shapeId="0" xr:uid="{BE32B1A9-54FD-4BDF-8B28-5D28C111BC62}">
      <text>
        <r>
          <rPr>
            <sz val="11"/>
            <color theme="1"/>
            <rFont val="Calibri"/>
            <family val="2"/>
            <scheme val="minor"/>
          </rPr>
          <t>Introducir un texto con el nombre o referencia de la contratación</t>
        </r>
      </text>
    </comment>
    <comment ref="B858" authorId="2" shapeId="0" xr:uid="{EA16A6F7-79CE-48E9-884A-F369A61D8B57}">
      <text>
        <r>
          <rPr>
            <sz val="11"/>
            <color theme="1"/>
            <rFont val="Calibri"/>
            <family val="2"/>
            <scheme val="minor"/>
          </rPr>
          <t>Introduzca un texto con la finalidad de la contratación</t>
        </r>
      </text>
    </comment>
    <comment ref="C858" authorId="2" shapeId="0" xr:uid="{B1F9D603-9D08-4085-BB8E-33A995FB117D}">
      <text>
        <r>
          <rPr>
            <sz val="11"/>
            <color theme="1"/>
            <rFont val="Calibri"/>
            <family val="2"/>
            <scheme val="minor"/>
          </rPr>
          <t>Seleccionar un valor del listado</t>
        </r>
      </text>
    </comment>
    <comment ref="D858" authorId="2" shapeId="0" xr:uid="{55E924C7-D14E-4928-B718-95FBBDD7A989}">
      <text>
        <r>
          <rPr>
            <sz val="11"/>
            <color theme="1"/>
            <rFont val="Calibri"/>
            <family val="2"/>
            <scheme val="minor"/>
          </rPr>
          <t>Seleccione el tipo de procedimiento</t>
        </r>
      </text>
    </comment>
    <comment ref="E858" authorId="2" shapeId="0" xr:uid="{51E3D1B0-CB1C-40BB-8027-D3CA4DBBE675}">
      <text>
        <r>
          <rPr>
            <sz val="11"/>
            <color theme="1"/>
            <rFont val="Calibri"/>
            <family val="2"/>
            <scheme val="minor"/>
          </rPr>
          <t>Seleccione un valor de la lista</t>
        </r>
      </text>
    </comment>
    <comment ref="F858" authorId="2" shapeId="0" xr:uid="{2883C2A9-9231-4BB1-831E-345573AA8FC2}">
      <text>
        <r>
          <rPr>
            <sz val="11"/>
            <color theme="1"/>
            <rFont val="Calibri"/>
            <family val="2"/>
            <scheme val="minor"/>
          </rPr>
          <t>Introduzca el código SNIP</t>
        </r>
      </text>
    </comment>
    <comment ref="C859" authorId="2" shapeId="0" xr:uid="{14D53A20-7593-488E-B29B-C3D479FDFF55}">
      <text>
        <r>
          <rPr>
            <sz val="11"/>
            <color theme="1"/>
            <rFont val="Calibri"/>
            <family val="2"/>
            <scheme val="minor"/>
          </rPr>
          <t>Introduzca la fecha de inicio del proceso, en formato dd-mm-aaaa</t>
        </r>
      </text>
    </comment>
    <comment ref="F859" authorId="2" shapeId="0" xr:uid="{BC5B3DE2-2F91-4FA0-A467-DBC459FDC0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2" shapeId="0" xr:uid="{33610C03-9D25-45C6-A68B-BD6C92ECDE37}">
      <text/>
    </comment>
    <comment ref="C861" authorId="2" shapeId="0" xr:uid="{F6EA0E0C-88C0-49E2-AF3C-EC79E4D9C647}">
      <text>
        <r>
          <rPr>
            <sz val="11"/>
            <color theme="1"/>
            <rFont val="Calibri"/>
            <family val="2"/>
            <scheme val="minor"/>
          </rPr>
          <t>Introduzca la fecha prevista de adjudicación, en formato dd-mm-aaaa</t>
        </r>
      </text>
    </comment>
    <comment ref="F861" authorId="2" shapeId="0" xr:uid="{902282DF-8492-44EF-8850-4B76F5BB5170}">
      <text/>
    </comment>
    <comment ref="F862" authorId="2" shapeId="0" xr:uid="{220AF87F-05B8-4F5F-BC89-6C88D5EB22D9}">
      <text/>
    </comment>
    <comment ref="A864" authorId="2" shapeId="0" xr:uid="{2B6FB3ED-FCBE-463F-9771-B6D3A36B4FCC}">
      <text>
        <r>
          <rPr>
            <sz val="11"/>
            <color theme="1"/>
            <rFont val="Calibri"/>
            <family val="2"/>
            <scheme val="minor"/>
          </rPr>
          <t>Introduzca un codigo UNSPSC</t>
        </r>
      </text>
    </comment>
    <comment ref="B864" authorId="2" shapeId="0" xr:uid="{B292A7B0-88D7-4C5A-8E25-FE9FF5FF9EDF}">
      <text>
        <r>
          <rPr>
            <sz val="11"/>
            <color theme="1"/>
            <rFont val="Calibri"/>
            <family val="2"/>
            <scheme val="minor"/>
          </rPr>
          <t>Descripción calculada automáticamente a partir de código del artículo</t>
        </r>
      </text>
    </comment>
    <comment ref="C864" authorId="2" shapeId="0" xr:uid="{2D77E136-D039-4B8D-8B6B-91265A5F9A15}">
      <text>
        <r>
          <rPr>
            <sz val="11"/>
            <color theme="1"/>
            <rFont val="Calibri"/>
            <family val="2"/>
            <scheme val="minor"/>
          </rPr>
          <t>Seleccione un valor de la lista</t>
        </r>
      </text>
    </comment>
    <comment ref="D864" authorId="2" shapeId="0" xr:uid="{2391D7B8-FC86-4749-9EFD-610587C65458}">
      <text>
        <r>
          <rPr>
            <sz val="11"/>
            <color theme="1"/>
            <rFont val="Calibri"/>
            <family val="2"/>
            <scheme val="minor"/>
          </rPr>
          <t>Introduzca un número con dos decimales como máximo. Debe ser igual o mayor a la "Cantidad Real Consumida"</t>
        </r>
      </text>
    </comment>
    <comment ref="E864" authorId="2" shapeId="0" xr:uid="{03E6387E-8B22-4939-A280-723D76903B7E}">
      <text>
        <r>
          <rPr>
            <sz val="11"/>
            <color theme="1"/>
            <rFont val="Calibri"/>
            <family val="2"/>
            <scheme val="minor"/>
          </rPr>
          <t>Introduzca un número con dos decimales como máximo</t>
        </r>
      </text>
    </comment>
    <comment ref="F864" authorId="2" shapeId="0" xr:uid="{5B745036-12F2-4C40-80BD-8168BB85BCEA}">
      <text>
        <r>
          <rPr>
            <sz val="11"/>
            <color theme="1"/>
            <rFont val="Calibri"/>
            <family val="2"/>
            <scheme val="minor"/>
          </rPr>
          <t>Monto calculado automáticamente por el sistema</t>
        </r>
      </text>
    </comment>
    <comment ref="A869" authorId="2" shapeId="0" xr:uid="{4BF6E0FB-E659-48D6-8363-ED83ED929F6A}">
      <text>
        <r>
          <rPr>
            <sz val="11"/>
            <color theme="1"/>
            <rFont val="Calibri"/>
            <family val="2"/>
            <scheme val="minor"/>
          </rPr>
          <t>Introducir un texto con el nombre o referencia de la contratación</t>
        </r>
      </text>
    </comment>
    <comment ref="B869" authorId="2" shapeId="0" xr:uid="{2D4F945E-FD44-4657-A102-495C1A478B33}">
      <text>
        <r>
          <rPr>
            <sz val="11"/>
            <color theme="1"/>
            <rFont val="Calibri"/>
            <family val="2"/>
            <scheme val="minor"/>
          </rPr>
          <t>Introduzca un texto con la finalidad de la contratación</t>
        </r>
      </text>
    </comment>
    <comment ref="C869" authorId="2" shapeId="0" xr:uid="{E8EC09AB-2F08-4A55-A686-7B32BF1FC27D}">
      <text>
        <r>
          <rPr>
            <sz val="11"/>
            <color theme="1"/>
            <rFont val="Calibri"/>
            <family val="2"/>
            <scheme val="minor"/>
          </rPr>
          <t>Seleccionar un valor del listado</t>
        </r>
      </text>
    </comment>
    <comment ref="D869" authorId="2" shapeId="0" xr:uid="{2C4C05A7-28DE-4D6B-B488-C9121750D51E}">
      <text>
        <r>
          <rPr>
            <sz val="11"/>
            <color theme="1"/>
            <rFont val="Calibri"/>
            <family val="2"/>
            <scheme val="minor"/>
          </rPr>
          <t>Seleccione el tipo de procedimiento</t>
        </r>
      </text>
    </comment>
    <comment ref="E869" authorId="2" shapeId="0" xr:uid="{A2A2708E-82DB-49D6-8A0B-2C5B89CF46F0}">
      <text>
        <r>
          <rPr>
            <sz val="11"/>
            <color theme="1"/>
            <rFont val="Calibri"/>
            <family val="2"/>
            <scheme val="minor"/>
          </rPr>
          <t>Seleccione un valor de la lista</t>
        </r>
      </text>
    </comment>
    <comment ref="F869" authorId="2" shapeId="0" xr:uid="{1FB81615-89EF-4A62-93E2-4CE109A1AFC7}">
      <text>
        <r>
          <rPr>
            <sz val="11"/>
            <color theme="1"/>
            <rFont val="Calibri"/>
            <family val="2"/>
            <scheme val="minor"/>
          </rPr>
          <t>Introduzca el código SNIP</t>
        </r>
      </text>
    </comment>
    <comment ref="C870" authorId="2" shapeId="0" xr:uid="{032240A4-311B-4666-8083-156435EDB60D}">
      <text>
        <r>
          <rPr>
            <sz val="11"/>
            <color theme="1"/>
            <rFont val="Calibri"/>
            <family val="2"/>
            <scheme val="minor"/>
          </rPr>
          <t>Introduzca la fecha de inicio del proceso, en formato dd-mm-aaaa</t>
        </r>
      </text>
    </comment>
    <comment ref="F870" authorId="2" shapeId="0" xr:uid="{1D6062DC-281A-4C29-9659-98E08914F8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2" shapeId="0" xr:uid="{0A41B119-6FD7-431D-A699-872F4608CFFF}">
      <text/>
    </comment>
    <comment ref="C872" authorId="2" shapeId="0" xr:uid="{F886406B-B9E3-491E-97E7-E8EB12528DD8}">
      <text>
        <r>
          <rPr>
            <sz val="11"/>
            <color theme="1"/>
            <rFont val="Calibri"/>
            <family val="2"/>
            <scheme val="minor"/>
          </rPr>
          <t>Introduzca la fecha prevista de adjudicación, en formato dd-mm-aaaa</t>
        </r>
      </text>
    </comment>
    <comment ref="F872" authorId="2" shapeId="0" xr:uid="{C7246803-A0BB-4559-875E-93FB8FF37A59}">
      <text/>
    </comment>
    <comment ref="F873" authorId="2" shapeId="0" xr:uid="{05AE01BB-3FD4-4587-AD1A-0D6AC279EC29}">
      <text/>
    </comment>
    <comment ref="A875" authorId="2" shapeId="0" xr:uid="{4F74CEC0-A99B-4592-8A5A-846067FF7519}">
      <text>
        <r>
          <rPr>
            <sz val="11"/>
            <color theme="1"/>
            <rFont val="Calibri"/>
            <family val="2"/>
            <scheme val="minor"/>
          </rPr>
          <t>Introduzca un codigo UNSPSC</t>
        </r>
      </text>
    </comment>
    <comment ref="B875" authorId="2" shapeId="0" xr:uid="{B1AA8F45-8783-4D80-B7B3-64CBA0D558FA}">
      <text>
        <r>
          <rPr>
            <sz val="11"/>
            <color theme="1"/>
            <rFont val="Calibri"/>
            <family val="2"/>
            <scheme val="minor"/>
          </rPr>
          <t>Descripción calculada automáticamente a partir de código del artículo</t>
        </r>
      </text>
    </comment>
    <comment ref="C875" authorId="2" shapeId="0" xr:uid="{E0F18E8E-A86A-43ED-8EE5-CF9409FC79D0}">
      <text>
        <r>
          <rPr>
            <sz val="11"/>
            <color theme="1"/>
            <rFont val="Calibri"/>
            <family val="2"/>
            <scheme val="minor"/>
          </rPr>
          <t>Seleccione un valor de la lista</t>
        </r>
      </text>
    </comment>
    <comment ref="D875" authorId="2" shapeId="0" xr:uid="{E815C0A9-8C50-4C01-A224-EC73A514D9FA}">
      <text>
        <r>
          <rPr>
            <sz val="11"/>
            <color theme="1"/>
            <rFont val="Calibri"/>
            <family val="2"/>
            <scheme val="minor"/>
          </rPr>
          <t>Introduzca un número con dos decimales como máximo. Debe ser igual o mayor a la "Cantidad Real Consumida"</t>
        </r>
      </text>
    </comment>
    <comment ref="E875" authorId="2" shapeId="0" xr:uid="{239DF4BB-52DF-444B-BD5B-89894E4A47AF}">
      <text>
        <r>
          <rPr>
            <sz val="11"/>
            <color theme="1"/>
            <rFont val="Calibri"/>
            <family val="2"/>
            <scheme val="minor"/>
          </rPr>
          <t>Introduzca un número con dos decimales como máximo</t>
        </r>
      </text>
    </comment>
    <comment ref="F875" authorId="2" shapeId="0" xr:uid="{A302CD0C-A889-485C-B95C-5D3AB969B8F8}">
      <text>
        <r>
          <rPr>
            <sz val="11"/>
            <color theme="1"/>
            <rFont val="Calibri"/>
            <family val="2"/>
            <scheme val="minor"/>
          </rPr>
          <t>Monto calculado automáticamente por el sistema</t>
        </r>
      </text>
    </comment>
    <comment ref="A880" authorId="2" shapeId="0" xr:uid="{BE6B63C1-B469-45C1-91EC-A27A9D5EAC43}">
      <text>
        <r>
          <rPr>
            <sz val="11"/>
            <color theme="1"/>
            <rFont val="Calibri"/>
            <family val="2"/>
            <scheme val="minor"/>
          </rPr>
          <t>Introducir un texto con el nombre o referencia de la contratación</t>
        </r>
      </text>
    </comment>
    <comment ref="B880" authorId="2" shapeId="0" xr:uid="{90E183FA-610E-471C-9C08-FAB082062B3A}">
      <text>
        <r>
          <rPr>
            <sz val="11"/>
            <color theme="1"/>
            <rFont val="Calibri"/>
            <family val="2"/>
            <scheme val="minor"/>
          </rPr>
          <t>Introduzca un texto con la finalidad de la contratación</t>
        </r>
      </text>
    </comment>
    <comment ref="C880" authorId="2" shapeId="0" xr:uid="{704B1F2B-E3FB-4712-A03B-C9AE5CEED66A}">
      <text>
        <r>
          <rPr>
            <sz val="11"/>
            <color theme="1"/>
            <rFont val="Calibri"/>
            <family val="2"/>
            <scheme val="minor"/>
          </rPr>
          <t>Seleccionar un valor del listado</t>
        </r>
      </text>
    </comment>
    <comment ref="D880" authorId="2" shapeId="0" xr:uid="{08376921-3020-421C-A1F7-E5286769C69A}">
      <text>
        <r>
          <rPr>
            <sz val="11"/>
            <color theme="1"/>
            <rFont val="Calibri"/>
            <family val="2"/>
            <scheme val="minor"/>
          </rPr>
          <t>Seleccione el tipo de procedimiento</t>
        </r>
      </text>
    </comment>
    <comment ref="E880" authorId="2" shapeId="0" xr:uid="{D14E8C3A-3A83-4DB7-9F35-3BFE83DC421F}">
      <text>
        <r>
          <rPr>
            <sz val="11"/>
            <color theme="1"/>
            <rFont val="Calibri"/>
            <family val="2"/>
            <scheme val="minor"/>
          </rPr>
          <t>Seleccione un valor de la lista</t>
        </r>
      </text>
    </comment>
    <comment ref="F880" authorId="2" shapeId="0" xr:uid="{39FB48EB-B10C-435F-BBC8-DFF46FBD3CDE}">
      <text>
        <r>
          <rPr>
            <sz val="11"/>
            <color theme="1"/>
            <rFont val="Calibri"/>
            <family val="2"/>
            <scheme val="minor"/>
          </rPr>
          <t>Introduzca el código SNIP</t>
        </r>
      </text>
    </comment>
    <comment ref="C881" authorId="2" shapeId="0" xr:uid="{F3E1F37E-31C2-4F2B-8594-8C32351B18D4}">
      <text>
        <r>
          <rPr>
            <sz val="11"/>
            <color theme="1"/>
            <rFont val="Calibri"/>
            <family val="2"/>
            <scheme val="minor"/>
          </rPr>
          <t>Introduzca la fecha de inicio del proceso, en formato dd-mm-aaaa</t>
        </r>
      </text>
    </comment>
    <comment ref="F881" authorId="2" shapeId="0" xr:uid="{71AE56D2-928C-4F27-91A4-A8BE6FBA04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2" shapeId="0" xr:uid="{8E4E520B-CB6D-45AC-BDF4-6B0F2BF363A3}">
      <text/>
    </comment>
    <comment ref="C883" authorId="2" shapeId="0" xr:uid="{8D649042-DFA7-4E7E-AA25-2315CB73C3EE}">
      <text>
        <r>
          <rPr>
            <sz val="11"/>
            <color theme="1"/>
            <rFont val="Calibri"/>
            <family val="2"/>
            <scheme val="minor"/>
          </rPr>
          <t>Introduzca la fecha prevista de adjudicación, en formato dd-mm-aaaa</t>
        </r>
      </text>
    </comment>
    <comment ref="F883" authorId="2" shapeId="0" xr:uid="{71211779-584C-462E-97FA-2DE9757F3E21}">
      <text/>
    </comment>
    <comment ref="F884" authorId="2" shapeId="0" xr:uid="{0B78327E-896C-4C1C-BA6A-30606FFF9B19}">
      <text/>
    </comment>
    <comment ref="A886" authorId="2" shapeId="0" xr:uid="{22DFCD26-C940-410E-823D-9B3CE8CB03F2}">
      <text>
        <r>
          <rPr>
            <sz val="11"/>
            <color theme="1"/>
            <rFont val="Calibri"/>
            <family val="2"/>
            <scheme val="minor"/>
          </rPr>
          <t>Introduzca un codigo UNSPSC</t>
        </r>
      </text>
    </comment>
    <comment ref="B886" authorId="2" shapeId="0" xr:uid="{177E7F21-6ABF-4724-B099-CED9B92CF95B}">
      <text>
        <r>
          <rPr>
            <sz val="11"/>
            <color theme="1"/>
            <rFont val="Calibri"/>
            <family val="2"/>
            <scheme val="minor"/>
          </rPr>
          <t>Descripción calculada automáticamente a partir de código del artículo</t>
        </r>
      </text>
    </comment>
    <comment ref="C886" authorId="2" shapeId="0" xr:uid="{DBC91E13-2AF2-42AC-8678-461672A1608A}">
      <text>
        <r>
          <rPr>
            <sz val="11"/>
            <color theme="1"/>
            <rFont val="Calibri"/>
            <family val="2"/>
            <scheme val="minor"/>
          </rPr>
          <t>Seleccione un valor de la lista</t>
        </r>
      </text>
    </comment>
    <comment ref="D886" authorId="2" shapeId="0" xr:uid="{38C5A343-FADB-46E3-B7EC-F36120B9A852}">
      <text>
        <r>
          <rPr>
            <sz val="11"/>
            <color theme="1"/>
            <rFont val="Calibri"/>
            <family val="2"/>
            <scheme val="minor"/>
          </rPr>
          <t>Introduzca un número con dos decimales como máximo. Debe ser igual o mayor a la "Cantidad Real Consumida"</t>
        </r>
      </text>
    </comment>
    <comment ref="E886" authorId="2" shapeId="0" xr:uid="{DC36FE92-952A-4A52-BC56-17FDAE3A6C3D}">
      <text>
        <r>
          <rPr>
            <sz val="11"/>
            <color theme="1"/>
            <rFont val="Calibri"/>
            <family val="2"/>
            <scheme val="minor"/>
          </rPr>
          <t>Introduzca un número con dos decimales como máximo</t>
        </r>
      </text>
    </comment>
    <comment ref="F886" authorId="2" shapeId="0" xr:uid="{D4A71E64-FD46-4DB2-B748-96237AC4F60D}">
      <text>
        <r>
          <rPr>
            <sz val="11"/>
            <color theme="1"/>
            <rFont val="Calibri"/>
            <family val="2"/>
            <scheme val="minor"/>
          </rPr>
          <t>Monto calculado automáticamente por el sistema</t>
        </r>
      </text>
    </comment>
    <comment ref="A891" authorId="2" shapeId="0" xr:uid="{23B32D55-C0BC-4622-8B8A-6AB3EA895259}">
      <text>
        <r>
          <rPr>
            <sz val="11"/>
            <color theme="1"/>
            <rFont val="Calibri"/>
            <family val="2"/>
            <scheme val="minor"/>
          </rPr>
          <t>Introducir un texto con el nombre o referencia de la contratación</t>
        </r>
      </text>
    </comment>
    <comment ref="B891" authorId="2" shapeId="0" xr:uid="{ACF83878-F875-4B1A-9B3F-50BABDA0DF38}">
      <text>
        <r>
          <rPr>
            <sz val="11"/>
            <color theme="1"/>
            <rFont val="Calibri"/>
            <family val="2"/>
            <scheme val="minor"/>
          </rPr>
          <t>Introduzca un texto con la finalidad de la contratación</t>
        </r>
      </text>
    </comment>
    <comment ref="C891" authorId="2" shapeId="0" xr:uid="{18E3E1E4-7C83-48BA-83B9-E625B3FCCFD6}">
      <text>
        <r>
          <rPr>
            <sz val="11"/>
            <color theme="1"/>
            <rFont val="Calibri"/>
            <family val="2"/>
            <scheme val="minor"/>
          </rPr>
          <t>Seleccionar un valor del listado</t>
        </r>
      </text>
    </comment>
    <comment ref="D891" authorId="2" shapeId="0" xr:uid="{EB65A6E4-5C4D-4000-90B0-C346B30DF0F7}">
      <text>
        <r>
          <rPr>
            <sz val="11"/>
            <color theme="1"/>
            <rFont val="Calibri"/>
            <family val="2"/>
            <scheme val="minor"/>
          </rPr>
          <t>Seleccione el tipo de procedimiento</t>
        </r>
      </text>
    </comment>
    <comment ref="E891" authorId="2" shapeId="0" xr:uid="{D5A308CD-EA13-43EA-8600-0D67A2AB3724}">
      <text>
        <r>
          <rPr>
            <sz val="11"/>
            <color theme="1"/>
            <rFont val="Calibri"/>
            <family val="2"/>
            <scheme val="minor"/>
          </rPr>
          <t>Seleccione un valor de la lista</t>
        </r>
      </text>
    </comment>
    <comment ref="F891" authorId="2" shapeId="0" xr:uid="{B8C202CD-C7D0-48CF-986E-4623EE706370}">
      <text>
        <r>
          <rPr>
            <sz val="11"/>
            <color theme="1"/>
            <rFont val="Calibri"/>
            <family val="2"/>
            <scheme val="minor"/>
          </rPr>
          <t>Introduzca el código SNIP</t>
        </r>
      </text>
    </comment>
    <comment ref="C892" authorId="2" shapeId="0" xr:uid="{1BE97DCC-0A94-4527-B511-2C08E3477513}">
      <text>
        <r>
          <rPr>
            <sz val="11"/>
            <color theme="1"/>
            <rFont val="Calibri"/>
            <family val="2"/>
            <scheme val="minor"/>
          </rPr>
          <t>Introduzca la fecha de inicio del proceso, en formato dd-mm-aaaa</t>
        </r>
      </text>
    </comment>
    <comment ref="F892" authorId="2" shapeId="0" xr:uid="{4D3395BF-0D22-472E-8EE7-23D85ECA9A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2" shapeId="0" xr:uid="{E3AF6264-8909-4D68-960F-78ADDF55447B}">
      <text/>
    </comment>
    <comment ref="C894" authorId="2" shapeId="0" xr:uid="{30B101B1-AE57-4F3C-9D3E-CD968A600E40}">
      <text>
        <r>
          <rPr>
            <sz val="11"/>
            <color theme="1"/>
            <rFont val="Calibri"/>
            <family val="2"/>
            <scheme val="minor"/>
          </rPr>
          <t>Introduzca la fecha prevista de adjudicación, en formato dd-mm-aaaa</t>
        </r>
      </text>
    </comment>
    <comment ref="F894" authorId="2" shapeId="0" xr:uid="{33BBE7FC-981F-49D8-A734-4C4DF9E70138}">
      <text/>
    </comment>
    <comment ref="F895" authorId="2" shapeId="0" xr:uid="{CDC79512-D10D-4EB5-87CF-8FF7EAF7A4A5}">
      <text/>
    </comment>
    <comment ref="A897" authorId="2" shapeId="0" xr:uid="{B399BA95-4286-435D-B2B7-C6141214853F}">
      <text>
        <r>
          <rPr>
            <sz val="11"/>
            <color theme="1"/>
            <rFont val="Calibri"/>
            <family val="2"/>
            <scheme val="minor"/>
          </rPr>
          <t>Introduzca un codigo UNSPSC</t>
        </r>
      </text>
    </comment>
    <comment ref="B897" authorId="2" shapeId="0" xr:uid="{47BEF63A-4C82-41F2-AA43-3FBE3874334F}">
      <text>
        <r>
          <rPr>
            <sz val="11"/>
            <color theme="1"/>
            <rFont val="Calibri"/>
            <family val="2"/>
            <scheme val="minor"/>
          </rPr>
          <t>Descripción calculada automáticamente a partir de código del artículo</t>
        </r>
      </text>
    </comment>
    <comment ref="C897" authorId="2" shapeId="0" xr:uid="{E73F91AB-93CC-49E4-A120-08740CDEF064}">
      <text>
        <r>
          <rPr>
            <sz val="11"/>
            <color theme="1"/>
            <rFont val="Calibri"/>
            <family val="2"/>
            <scheme val="minor"/>
          </rPr>
          <t>Seleccione un valor de la lista</t>
        </r>
      </text>
    </comment>
    <comment ref="D897" authorId="2" shapeId="0" xr:uid="{87241FEF-677D-4AC8-833B-30F2FBC682A9}">
      <text>
        <r>
          <rPr>
            <sz val="11"/>
            <color theme="1"/>
            <rFont val="Calibri"/>
            <family val="2"/>
            <scheme val="minor"/>
          </rPr>
          <t>Introduzca un número con dos decimales como máximo. Debe ser igual o mayor a la "Cantidad Real Consumida"</t>
        </r>
      </text>
    </comment>
    <comment ref="E897" authorId="2" shapeId="0" xr:uid="{658F7C5E-2E37-433D-8F86-0B169113B300}">
      <text>
        <r>
          <rPr>
            <sz val="11"/>
            <color theme="1"/>
            <rFont val="Calibri"/>
            <family val="2"/>
            <scheme val="minor"/>
          </rPr>
          <t>Introduzca un número con dos decimales como máximo</t>
        </r>
      </text>
    </comment>
    <comment ref="F897" authorId="2" shapeId="0" xr:uid="{7742AD67-BCEA-440D-9651-EB62C29A986D}">
      <text>
        <r>
          <rPr>
            <sz val="11"/>
            <color theme="1"/>
            <rFont val="Calibri"/>
            <family val="2"/>
            <scheme val="minor"/>
          </rPr>
          <t>Monto calculado automáticamente por el sistema</t>
        </r>
      </text>
    </comment>
    <comment ref="A903" authorId="2" shapeId="0" xr:uid="{E15A790D-036F-48A8-B939-B90D8B3267D4}">
      <text>
        <r>
          <rPr>
            <sz val="11"/>
            <color theme="1"/>
            <rFont val="Calibri"/>
            <family val="2"/>
            <scheme val="minor"/>
          </rPr>
          <t>Introducir un texto con el nombre o referencia de la contratación</t>
        </r>
      </text>
    </comment>
    <comment ref="B903" authorId="2" shapeId="0" xr:uid="{56423A59-827D-46D4-ADAE-CAEA19C35519}">
      <text>
        <r>
          <rPr>
            <sz val="11"/>
            <color theme="1"/>
            <rFont val="Calibri"/>
            <family val="2"/>
            <scheme val="minor"/>
          </rPr>
          <t>Introduzca un texto con la finalidad de la contratación</t>
        </r>
      </text>
    </comment>
    <comment ref="C903" authorId="2" shapeId="0" xr:uid="{BCFB55DF-A80D-489B-851B-10D4A7F04327}">
      <text>
        <r>
          <rPr>
            <sz val="11"/>
            <color theme="1"/>
            <rFont val="Calibri"/>
            <family val="2"/>
            <scheme val="minor"/>
          </rPr>
          <t>Seleccionar un valor del listado</t>
        </r>
      </text>
    </comment>
    <comment ref="D903" authorId="2" shapeId="0" xr:uid="{2053F344-2866-4BA8-AC81-114E1BA95D3E}">
      <text>
        <r>
          <rPr>
            <sz val="11"/>
            <color theme="1"/>
            <rFont val="Calibri"/>
            <family val="2"/>
            <scheme val="minor"/>
          </rPr>
          <t>Seleccione el tipo de procedimiento</t>
        </r>
      </text>
    </comment>
    <comment ref="E903" authorId="2" shapeId="0" xr:uid="{0A6CAF5E-0AB8-46F6-BC7F-31D1E6B0E45B}">
      <text>
        <r>
          <rPr>
            <sz val="11"/>
            <color theme="1"/>
            <rFont val="Calibri"/>
            <family val="2"/>
            <scheme val="minor"/>
          </rPr>
          <t>Seleccione un valor de la lista</t>
        </r>
      </text>
    </comment>
    <comment ref="F903" authorId="2" shapeId="0" xr:uid="{6009CB51-9523-45E5-90BD-B4ED3B6367AF}">
      <text>
        <r>
          <rPr>
            <sz val="11"/>
            <color theme="1"/>
            <rFont val="Calibri"/>
            <family val="2"/>
            <scheme val="minor"/>
          </rPr>
          <t>Introduzca el código SNIP</t>
        </r>
      </text>
    </comment>
    <comment ref="C904" authorId="2" shapeId="0" xr:uid="{C286F31C-4F61-4CD2-BB50-0B18EE91F5E3}">
      <text>
        <r>
          <rPr>
            <sz val="11"/>
            <color theme="1"/>
            <rFont val="Calibri"/>
            <family val="2"/>
            <scheme val="minor"/>
          </rPr>
          <t>Introduzca la fecha de inicio del proceso, en formato dd-mm-aaaa</t>
        </r>
      </text>
    </comment>
    <comment ref="F904" authorId="2" shapeId="0" xr:uid="{C94EAE16-D71D-4DA1-BF1D-4F15EC2EAD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2" shapeId="0" xr:uid="{A9D8FCFF-39E2-4058-AB4F-87996D33220B}">
      <text/>
    </comment>
    <comment ref="C906" authorId="2" shapeId="0" xr:uid="{19024C4B-AF30-4398-B1E7-BDEE644413EC}">
      <text>
        <r>
          <rPr>
            <sz val="11"/>
            <color theme="1"/>
            <rFont val="Calibri"/>
            <family val="2"/>
            <scheme val="minor"/>
          </rPr>
          <t>Introduzca la fecha prevista de adjudicación, en formato dd-mm-aaaa</t>
        </r>
      </text>
    </comment>
    <comment ref="F906" authorId="2" shapeId="0" xr:uid="{41AA183A-B3C0-4F72-85FA-E7982BB6A7DE}">
      <text/>
    </comment>
    <comment ref="F907" authorId="2" shapeId="0" xr:uid="{73C9B6CD-B41B-4941-B265-DED3523AE2A6}">
      <text/>
    </comment>
    <comment ref="A909" authorId="2" shapeId="0" xr:uid="{EC46B677-4F33-4CA4-8A6A-998982070807}">
      <text>
        <r>
          <rPr>
            <sz val="11"/>
            <color theme="1"/>
            <rFont val="Calibri"/>
            <family val="2"/>
            <scheme val="minor"/>
          </rPr>
          <t>Introduzca un codigo UNSPSC</t>
        </r>
      </text>
    </comment>
    <comment ref="B909" authorId="2" shapeId="0" xr:uid="{DF09FA55-8BD9-4776-96A0-24A11406A3CC}">
      <text>
        <r>
          <rPr>
            <sz val="11"/>
            <color theme="1"/>
            <rFont val="Calibri"/>
            <family val="2"/>
            <scheme val="minor"/>
          </rPr>
          <t>Descripción calculada automáticamente a partir de código del artículo</t>
        </r>
      </text>
    </comment>
    <comment ref="C909" authorId="2" shapeId="0" xr:uid="{D9891FF5-3E6C-4ED7-8E5F-C98ACFF3F926}">
      <text>
        <r>
          <rPr>
            <sz val="11"/>
            <color theme="1"/>
            <rFont val="Calibri"/>
            <family val="2"/>
            <scheme val="minor"/>
          </rPr>
          <t>Seleccione un valor de la lista</t>
        </r>
      </text>
    </comment>
    <comment ref="D909" authorId="2" shapeId="0" xr:uid="{DC0F7A79-8EFD-46DF-A871-FD21A09F58C0}">
      <text>
        <r>
          <rPr>
            <sz val="11"/>
            <color theme="1"/>
            <rFont val="Calibri"/>
            <family val="2"/>
            <scheme val="minor"/>
          </rPr>
          <t>Introduzca un número con dos decimales como máximo. Debe ser igual o mayor a la "Cantidad Real Consumida"</t>
        </r>
      </text>
    </comment>
    <comment ref="E909" authorId="2" shapeId="0" xr:uid="{B7F78275-9A4B-470F-8D93-2C39E8176368}">
      <text>
        <r>
          <rPr>
            <sz val="11"/>
            <color theme="1"/>
            <rFont val="Calibri"/>
            <family val="2"/>
            <scheme val="minor"/>
          </rPr>
          <t>Introduzca un número con dos decimales como máximo</t>
        </r>
      </text>
    </comment>
    <comment ref="F909" authorId="2" shapeId="0" xr:uid="{40BF2B61-D3FA-4183-8E80-6B70D170FBC6}">
      <text>
        <r>
          <rPr>
            <sz val="11"/>
            <color theme="1"/>
            <rFont val="Calibri"/>
            <family val="2"/>
            <scheme val="minor"/>
          </rPr>
          <t>Monto calculado automáticamente por el sistema</t>
        </r>
      </text>
    </comment>
    <comment ref="A915" authorId="2" shapeId="0" xr:uid="{F48F8300-BBF5-4465-8A03-4FD1762223A6}">
      <text>
        <r>
          <rPr>
            <sz val="11"/>
            <color theme="1"/>
            <rFont val="Calibri"/>
            <family val="2"/>
            <scheme val="minor"/>
          </rPr>
          <t>Introducir un texto con el nombre o referencia de la contratación</t>
        </r>
      </text>
    </comment>
    <comment ref="B915" authorId="2" shapeId="0" xr:uid="{605B19A8-3C85-4DCB-A44F-46B891A3BF87}">
      <text>
        <r>
          <rPr>
            <sz val="11"/>
            <color theme="1"/>
            <rFont val="Calibri"/>
            <family val="2"/>
            <scheme val="minor"/>
          </rPr>
          <t>Introduzca un texto con la finalidad de la contratación</t>
        </r>
      </text>
    </comment>
    <comment ref="C915" authorId="2" shapeId="0" xr:uid="{7C548479-D7D6-46AB-B381-FD7F1A0EF17C}">
      <text>
        <r>
          <rPr>
            <sz val="11"/>
            <color theme="1"/>
            <rFont val="Calibri"/>
            <family val="2"/>
            <scheme val="minor"/>
          </rPr>
          <t>Seleccionar un valor del listado</t>
        </r>
      </text>
    </comment>
    <comment ref="D915" authorId="2" shapeId="0" xr:uid="{6306F224-10AF-48FE-B115-CEA6417E8EF4}">
      <text>
        <r>
          <rPr>
            <sz val="11"/>
            <color theme="1"/>
            <rFont val="Calibri"/>
            <family val="2"/>
            <scheme val="minor"/>
          </rPr>
          <t>Seleccione el tipo de procedimiento</t>
        </r>
      </text>
    </comment>
    <comment ref="E915" authorId="2" shapeId="0" xr:uid="{51DFBF88-8B5E-4635-865D-69C4B8ED4210}">
      <text>
        <r>
          <rPr>
            <sz val="11"/>
            <color theme="1"/>
            <rFont val="Calibri"/>
            <family val="2"/>
            <scheme val="minor"/>
          </rPr>
          <t>Seleccione un valor de la lista</t>
        </r>
      </text>
    </comment>
    <comment ref="F915" authorId="2" shapeId="0" xr:uid="{975A601A-6A83-46E1-9526-85136306DF88}">
      <text>
        <r>
          <rPr>
            <sz val="11"/>
            <color theme="1"/>
            <rFont val="Calibri"/>
            <family val="2"/>
            <scheme val="minor"/>
          </rPr>
          <t>Introduzca el código SNIP</t>
        </r>
      </text>
    </comment>
    <comment ref="C916" authorId="2" shapeId="0" xr:uid="{4525B62C-677F-42E4-9722-8B9D3F89BDD8}">
      <text>
        <r>
          <rPr>
            <sz val="11"/>
            <color theme="1"/>
            <rFont val="Calibri"/>
            <family val="2"/>
            <scheme val="minor"/>
          </rPr>
          <t>Introduzca la fecha de inicio del proceso, en formato dd-mm-aaaa</t>
        </r>
      </text>
    </comment>
    <comment ref="F916" authorId="2" shapeId="0" xr:uid="{32747B57-973B-454E-8D6B-3339659D5F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shapeId="0" xr:uid="{04EE8B3F-31A6-4E07-95F9-DA36B1DF5C43}">
      <text/>
    </comment>
    <comment ref="C918" authorId="2" shapeId="0" xr:uid="{BB5D3B76-0306-4DBF-BDE8-89DF2AB4E033}">
      <text>
        <r>
          <rPr>
            <sz val="11"/>
            <color theme="1"/>
            <rFont val="Calibri"/>
            <family val="2"/>
            <scheme val="minor"/>
          </rPr>
          <t>Introduzca la fecha prevista de adjudicación, en formato dd-mm-aaaa</t>
        </r>
      </text>
    </comment>
    <comment ref="F918" authorId="2" shapeId="0" xr:uid="{FF883640-3EF6-4239-B56B-82FEDA38840A}">
      <text/>
    </comment>
    <comment ref="F919" authorId="2" shapeId="0" xr:uid="{7493E1D6-2946-49B1-817A-5D4BF76DBA96}">
      <text/>
    </comment>
    <comment ref="A921" authorId="2" shapeId="0" xr:uid="{B81FDB9E-7DC7-4525-8C03-B9FFF2A56A00}">
      <text>
        <r>
          <rPr>
            <sz val="11"/>
            <color theme="1"/>
            <rFont val="Calibri"/>
            <family val="2"/>
            <scheme val="minor"/>
          </rPr>
          <t>Introduzca un codigo UNSPSC</t>
        </r>
      </text>
    </comment>
    <comment ref="B921" authorId="2" shapeId="0" xr:uid="{7A1973EA-962B-42B3-99D9-C2FC4F8EC741}">
      <text>
        <r>
          <rPr>
            <sz val="11"/>
            <color theme="1"/>
            <rFont val="Calibri"/>
            <family val="2"/>
            <scheme val="minor"/>
          </rPr>
          <t>Descripción calculada automáticamente a partir de código del artículo</t>
        </r>
      </text>
    </comment>
    <comment ref="C921" authorId="2" shapeId="0" xr:uid="{2C0CD7A8-36F2-4AF5-B10B-47E607B32C3A}">
      <text>
        <r>
          <rPr>
            <sz val="11"/>
            <color theme="1"/>
            <rFont val="Calibri"/>
            <family val="2"/>
            <scheme val="minor"/>
          </rPr>
          <t>Seleccione un valor de la lista</t>
        </r>
      </text>
    </comment>
    <comment ref="D921" authorId="2" shapeId="0" xr:uid="{F453ADA4-D249-4E5C-916D-85C5A2CDAB49}">
      <text>
        <r>
          <rPr>
            <sz val="11"/>
            <color theme="1"/>
            <rFont val="Calibri"/>
            <family val="2"/>
            <scheme val="minor"/>
          </rPr>
          <t>Introduzca un número con dos decimales como máximo. Debe ser igual o mayor a la "Cantidad Real Consumida"</t>
        </r>
      </text>
    </comment>
    <comment ref="E921" authorId="2" shapeId="0" xr:uid="{4212E904-A7A5-4D5A-BA14-83EA0CE8C422}">
      <text>
        <r>
          <rPr>
            <sz val="11"/>
            <color theme="1"/>
            <rFont val="Calibri"/>
            <family val="2"/>
            <scheme val="minor"/>
          </rPr>
          <t>Introduzca un número con dos decimales como máximo</t>
        </r>
      </text>
    </comment>
    <comment ref="F921" authorId="2" shapeId="0" xr:uid="{5E36DB69-92B0-4AFD-8D36-B3F71288A5F4}">
      <text>
        <r>
          <rPr>
            <sz val="11"/>
            <color theme="1"/>
            <rFont val="Calibri"/>
            <family val="2"/>
            <scheme val="minor"/>
          </rPr>
          <t>Monto calculado automáticamente por el sistema</t>
        </r>
      </text>
    </comment>
    <comment ref="A926" authorId="2" shapeId="0" xr:uid="{FFC6202D-134F-44C8-8B02-329017591D59}">
      <text>
        <r>
          <rPr>
            <sz val="11"/>
            <color theme="1"/>
            <rFont val="Calibri"/>
            <family val="2"/>
            <scheme val="minor"/>
          </rPr>
          <t>Introducir un texto con el nombre o referencia de la contratación</t>
        </r>
      </text>
    </comment>
    <comment ref="B926" authorId="2" shapeId="0" xr:uid="{2BEE54E3-0F2B-4A63-9BC9-D12EFCDBCE6A}">
      <text>
        <r>
          <rPr>
            <sz val="11"/>
            <color theme="1"/>
            <rFont val="Calibri"/>
            <family val="2"/>
            <scheme val="minor"/>
          </rPr>
          <t>Introduzca un texto con la finalidad de la contratación</t>
        </r>
      </text>
    </comment>
    <comment ref="C926" authorId="2" shapeId="0" xr:uid="{E46D33FA-755B-4891-95CC-D1A5FEF05161}">
      <text>
        <r>
          <rPr>
            <sz val="11"/>
            <color theme="1"/>
            <rFont val="Calibri"/>
            <family val="2"/>
            <scheme val="minor"/>
          </rPr>
          <t>Seleccionar un valor del listado</t>
        </r>
      </text>
    </comment>
    <comment ref="D926" authorId="2" shapeId="0" xr:uid="{16210806-0478-42C5-AB63-5DF4A0C9E158}">
      <text>
        <r>
          <rPr>
            <sz val="11"/>
            <color theme="1"/>
            <rFont val="Calibri"/>
            <family val="2"/>
            <scheme val="minor"/>
          </rPr>
          <t>Seleccione el tipo de procedimiento</t>
        </r>
      </text>
    </comment>
    <comment ref="E926" authorId="2" shapeId="0" xr:uid="{45BAE4BD-CB5C-45D8-938D-B4E7D5FC0FAA}">
      <text>
        <r>
          <rPr>
            <sz val="11"/>
            <color theme="1"/>
            <rFont val="Calibri"/>
            <family val="2"/>
            <scheme val="minor"/>
          </rPr>
          <t>Seleccione un valor de la lista</t>
        </r>
      </text>
    </comment>
    <comment ref="F926" authorId="2" shapeId="0" xr:uid="{EE74AC43-7D03-4A8A-A57D-71E7A3C3F0B2}">
      <text>
        <r>
          <rPr>
            <sz val="11"/>
            <color theme="1"/>
            <rFont val="Calibri"/>
            <family val="2"/>
            <scheme val="minor"/>
          </rPr>
          <t>Introduzca el código SNIP</t>
        </r>
      </text>
    </comment>
    <comment ref="C927" authorId="2" shapeId="0" xr:uid="{3D921C98-3C3E-4EC7-8C70-C26F5F75E427}">
      <text>
        <r>
          <rPr>
            <sz val="11"/>
            <color theme="1"/>
            <rFont val="Calibri"/>
            <family val="2"/>
            <scheme val="minor"/>
          </rPr>
          <t>Introduzca la fecha de inicio del proceso, en formato dd-mm-aaaa</t>
        </r>
      </text>
    </comment>
    <comment ref="F927" authorId="2" shapeId="0" xr:uid="{8EDD8E46-5C45-4A49-9D52-C1DCBE0ADA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shapeId="0" xr:uid="{0EF4634A-8F5C-4FB5-B936-BF9242F159D8}">
      <text/>
    </comment>
    <comment ref="C929" authorId="2" shapeId="0" xr:uid="{701916C0-7F78-431B-9E8A-EA3FB7910FB6}">
      <text>
        <r>
          <rPr>
            <sz val="11"/>
            <color theme="1"/>
            <rFont val="Calibri"/>
            <family val="2"/>
            <scheme val="minor"/>
          </rPr>
          <t>Introduzca la fecha prevista de adjudicación, en formato dd-mm-aaaa</t>
        </r>
      </text>
    </comment>
    <comment ref="F929" authorId="2" shapeId="0" xr:uid="{15059B8A-3315-45EA-98E8-1B40B476598E}">
      <text/>
    </comment>
    <comment ref="F930" authorId="2" shapeId="0" xr:uid="{EE593DC6-218B-4B05-B269-61035F76D43D}">
      <text/>
    </comment>
    <comment ref="A932" authorId="2" shapeId="0" xr:uid="{DBE67F5F-BD2D-4BFB-BE80-232B5C995E92}">
      <text>
        <r>
          <rPr>
            <sz val="11"/>
            <color theme="1"/>
            <rFont val="Calibri"/>
            <family val="2"/>
            <scheme val="minor"/>
          </rPr>
          <t>Introduzca un codigo UNSPSC</t>
        </r>
      </text>
    </comment>
    <comment ref="B932" authorId="2" shapeId="0" xr:uid="{12474C6F-29A8-4665-B6D0-1C1E2FDC09A8}">
      <text>
        <r>
          <rPr>
            <sz val="11"/>
            <color theme="1"/>
            <rFont val="Calibri"/>
            <family val="2"/>
            <scheme val="minor"/>
          </rPr>
          <t>Descripción calculada automáticamente a partir de código del artículo</t>
        </r>
      </text>
    </comment>
    <comment ref="C932" authorId="2" shapeId="0" xr:uid="{AEC974DC-1187-4A8B-AFA6-1582F760A37C}">
      <text>
        <r>
          <rPr>
            <sz val="11"/>
            <color theme="1"/>
            <rFont val="Calibri"/>
            <family val="2"/>
            <scheme val="minor"/>
          </rPr>
          <t>Seleccione un valor de la lista</t>
        </r>
      </text>
    </comment>
    <comment ref="D932" authorId="2" shapeId="0" xr:uid="{F34C1469-756C-4C66-A2CA-CB4592F32B68}">
      <text>
        <r>
          <rPr>
            <sz val="11"/>
            <color theme="1"/>
            <rFont val="Calibri"/>
            <family val="2"/>
            <scheme val="minor"/>
          </rPr>
          <t>Introduzca un número con dos decimales como máximo. Debe ser igual o mayor a la "Cantidad Real Consumida"</t>
        </r>
      </text>
    </comment>
    <comment ref="E932" authorId="2" shapeId="0" xr:uid="{1D1D1B97-C2FA-4129-8A9A-78BDE8E55C93}">
      <text>
        <r>
          <rPr>
            <sz val="11"/>
            <color theme="1"/>
            <rFont val="Calibri"/>
            <family val="2"/>
            <scheme val="minor"/>
          </rPr>
          <t>Introduzca un número con dos decimales como máximo</t>
        </r>
      </text>
    </comment>
    <comment ref="F932" authorId="2" shapeId="0" xr:uid="{062BEE8B-81AA-4ED7-824A-F4F27B40B3BE}">
      <text>
        <r>
          <rPr>
            <sz val="11"/>
            <color theme="1"/>
            <rFont val="Calibri"/>
            <family val="2"/>
            <scheme val="minor"/>
          </rPr>
          <t>Monto calculado automáticamente por el sistema</t>
        </r>
      </text>
    </comment>
    <comment ref="A937" authorId="2" shapeId="0" xr:uid="{EC2F2263-801D-4F94-976F-BF83A746BF50}">
      <text>
        <r>
          <rPr>
            <sz val="11"/>
            <color theme="1"/>
            <rFont val="Calibri"/>
            <family val="2"/>
            <scheme val="minor"/>
          </rPr>
          <t>Introducir un texto con el nombre o referencia de la contratación</t>
        </r>
      </text>
    </comment>
    <comment ref="B937" authorId="2" shapeId="0" xr:uid="{5A1D6C90-83D1-49AE-B518-45D1BB9C223F}">
      <text>
        <r>
          <rPr>
            <sz val="11"/>
            <color theme="1"/>
            <rFont val="Calibri"/>
            <family val="2"/>
            <scheme val="minor"/>
          </rPr>
          <t>Introduzca un texto con la finalidad de la contratación</t>
        </r>
      </text>
    </comment>
    <comment ref="C937" authorId="2" shapeId="0" xr:uid="{28327B92-4DF9-42E6-BF55-26F12EA889E0}">
      <text>
        <r>
          <rPr>
            <sz val="11"/>
            <color theme="1"/>
            <rFont val="Calibri"/>
            <family val="2"/>
            <scheme val="minor"/>
          </rPr>
          <t>Seleccionar un valor del listado</t>
        </r>
      </text>
    </comment>
    <comment ref="D937" authorId="2" shapeId="0" xr:uid="{9C173B29-92FE-41D5-9A35-028F35E46B29}">
      <text>
        <r>
          <rPr>
            <sz val="11"/>
            <color theme="1"/>
            <rFont val="Calibri"/>
            <family val="2"/>
            <scheme val="minor"/>
          </rPr>
          <t>Seleccione el tipo de procedimiento</t>
        </r>
      </text>
    </comment>
    <comment ref="E937" authorId="2" shapeId="0" xr:uid="{0F0CEF00-22DB-4402-AC60-50DB91B28FC0}">
      <text>
        <r>
          <rPr>
            <sz val="11"/>
            <color theme="1"/>
            <rFont val="Calibri"/>
            <family val="2"/>
            <scheme val="minor"/>
          </rPr>
          <t>Seleccione un valor de la lista</t>
        </r>
      </text>
    </comment>
    <comment ref="F937" authorId="2" shapeId="0" xr:uid="{2EFB11A5-6183-423E-88E8-85D0540D04D8}">
      <text>
        <r>
          <rPr>
            <sz val="11"/>
            <color theme="1"/>
            <rFont val="Calibri"/>
            <family val="2"/>
            <scheme val="minor"/>
          </rPr>
          <t>Introduzca el código SNIP</t>
        </r>
      </text>
    </comment>
    <comment ref="C938" authorId="2" shapeId="0" xr:uid="{F72424D3-2BD0-46A3-899B-6750A6DDE33A}">
      <text>
        <r>
          <rPr>
            <sz val="11"/>
            <color theme="1"/>
            <rFont val="Calibri"/>
            <family val="2"/>
            <scheme val="minor"/>
          </rPr>
          <t>Introduzca la fecha de inicio del proceso, en formato dd-mm-aaaa</t>
        </r>
      </text>
    </comment>
    <comment ref="F938" authorId="2" shapeId="0" xr:uid="{C21D9E13-4567-400E-B358-B491C1E558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2" shapeId="0" xr:uid="{478A8C31-0C83-486D-ACBD-2E4AF8D1F530}">
      <text/>
    </comment>
    <comment ref="C940" authorId="2" shapeId="0" xr:uid="{A6173A46-DBEC-400C-A80D-C9B76B0ADD8F}">
      <text>
        <r>
          <rPr>
            <sz val="11"/>
            <color theme="1"/>
            <rFont val="Calibri"/>
            <family val="2"/>
            <scheme val="minor"/>
          </rPr>
          <t>Introduzca la fecha prevista de adjudicación, en formato dd-mm-aaaa</t>
        </r>
      </text>
    </comment>
    <comment ref="F940" authorId="2" shapeId="0" xr:uid="{CC2E9E94-0FE5-482C-B83C-46E24ACA32C1}">
      <text/>
    </comment>
    <comment ref="F941" authorId="2" shapeId="0" xr:uid="{7ED9115C-D39A-46DB-B20D-E6AD04956709}">
      <text/>
    </comment>
    <comment ref="A943" authorId="2" shapeId="0" xr:uid="{AB3156BF-DA41-4C35-A8EF-B0C2723C50A3}">
      <text>
        <r>
          <rPr>
            <sz val="11"/>
            <color theme="1"/>
            <rFont val="Calibri"/>
            <family val="2"/>
            <scheme val="minor"/>
          </rPr>
          <t>Introduzca un codigo UNSPSC</t>
        </r>
      </text>
    </comment>
    <comment ref="B943" authorId="2" shapeId="0" xr:uid="{18904F47-94DE-45C2-91F6-39E1FB46DD05}">
      <text>
        <r>
          <rPr>
            <sz val="11"/>
            <color theme="1"/>
            <rFont val="Calibri"/>
            <family val="2"/>
            <scheme val="minor"/>
          </rPr>
          <t>Descripción calculada automáticamente a partir de código del artículo</t>
        </r>
      </text>
    </comment>
    <comment ref="C943" authorId="2" shapeId="0" xr:uid="{1BD36B86-F38F-4A8B-8D11-1F0CD1226068}">
      <text>
        <r>
          <rPr>
            <sz val="11"/>
            <color theme="1"/>
            <rFont val="Calibri"/>
            <family val="2"/>
            <scheme val="minor"/>
          </rPr>
          <t>Seleccione un valor de la lista</t>
        </r>
      </text>
    </comment>
    <comment ref="D943" authorId="2" shapeId="0" xr:uid="{94D0B3A8-CCDB-43D9-815B-C62D575B15EB}">
      <text>
        <r>
          <rPr>
            <sz val="11"/>
            <color theme="1"/>
            <rFont val="Calibri"/>
            <family val="2"/>
            <scheme val="minor"/>
          </rPr>
          <t>Introduzca un número con dos decimales como máximo. Debe ser igual o mayor a la "Cantidad Real Consumida"</t>
        </r>
      </text>
    </comment>
    <comment ref="E943" authorId="2" shapeId="0" xr:uid="{461A61EE-185E-460A-BB70-DE860CBB6C02}">
      <text>
        <r>
          <rPr>
            <sz val="11"/>
            <color theme="1"/>
            <rFont val="Calibri"/>
            <family val="2"/>
            <scheme val="minor"/>
          </rPr>
          <t>Introduzca un número con dos decimales como máximo</t>
        </r>
      </text>
    </comment>
    <comment ref="F943" authorId="2" shapeId="0" xr:uid="{54FF7C97-8FDB-428D-A834-78351E7E4815}">
      <text>
        <r>
          <rPr>
            <sz val="11"/>
            <color theme="1"/>
            <rFont val="Calibri"/>
            <family val="2"/>
            <scheme val="minor"/>
          </rPr>
          <t>Monto calculado automáticamente por el sistema</t>
        </r>
      </text>
    </comment>
    <comment ref="A948" authorId="2" shapeId="0" xr:uid="{8BC3D7B4-8398-4794-965B-197239743096}">
      <text>
        <r>
          <rPr>
            <sz val="11"/>
            <color theme="1"/>
            <rFont val="Calibri"/>
            <family val="2"/>
            <scheme val="minor"/>
          </rPr>
          <t>Introducir un texto con el nombre o referencia de la contratación</t>
        </r>
      </text>
    </comment>
    <comment ref="B948" authorId="2" shapeId="0" xr:uid="{ABA01895-CA3B-4D19-AFF9-5E7C586D575A}">
      <text>
        <r>
          <rPr>
            <sz val="11"/>
            <color theme="1"/>
            <rFont val="Calibri"/>
            <family val="2"/>
            <scheme val="minor"/>
          </rPr>
          <t>Introduzca un texto con la finalidad de la contratación</t>
        </r>
      </text>
    </comment>
    <comment ref="C948" authorId="2" shapeId="0" xr:uid="{49CAF8B8-5D4B-4407-8E71-338103762975}">
      <text>
        <r>
          <rPr>
            <sz val="11"/>
            <color theme="1"/>
            <rFont val="Calibri"/>
            <family val="2"/>
            <scheme val="minor"/>
          </rPr>
          <t>Seleccionar un valor del listado</t>
        </r>
      </text>
    </comment>
    <comment ref="D948" authorId="2" shapeId="0" xr:uid="{549139A5-F59A-4E34-A9A0-2EFA9A4DF22F}">
      <text>
        <r>
          <rPr>
            <sz val="11"/>
            <color theme="1"/>
            <rFont val="Calibri"/>
            <family val="2"/>
            <scheme val="minor"/>
          </rPr>
          <t>Seleccione el tipo de procedimiento</t>
        </r>
      </text>
    </comment>
    <comment ref="E948" authorId="2" shapeId="0" xr:uid="{05A9D7A7-0FA8-4CEC-9A2E-52649EEECCB4}">
      <text>
        <r>
          <rPr>
            <sz val="11"/>
            <color theme="1"/>
            <rFont val="Calibri"/>
            <family val="2"/>
            <scheme val="minor"/>
          </rPr>
          <t>Seleccione un valor de la lista</t>
        </r>
      </text>
    </comment>
    <comment ref="F948" authorId="2" shapeId="0" xr:uid="{F3648689-53CC-47AF-A226-CE4D87599B1B}">
      <text>
        <r>
          <rPr>
            <sz val="11"/>
            <color theme="1"/>
            <rFont val="Calibri"/>
            <family val="2"/>
            <scheme val="minor"/>
          </rPr>
          <t>Introduzca el código SNIP</t>
        </r>
      </text>
    </comment>
    <comment ref="C949" authorId="2" shapeId="0" xr:uid="{C0F2EB44-BAF3-4FD9-97DC-56C913C5D84C}">
      <text>
        <r>
          <rPr>
            <sz val="11"/>
            <color theme="1"/>
            <rFont val="Calibri"/>
            <family val="2"/>
            <scheme val="minor"/>
          </rPr>
          <t>Introduzca la fecha de inicio del proceso, en formato dd-mm-aaaa</t>
        </r>
      </text>
    </comment>
    <comment ref="F949" authorId="2" shapeId="0" xr:uid="{8778B188-8DE3-41F8-858D-C521FFE1E7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shapeId="0" xr:uid="{E7DAB2D4-62CC-4F9C-B639-46E5897272AA}">
      <text/>
    </comment>
    <comment ref="C951" authorId="2" shapeId="0" xr:uid="{F6F706F2-7A96-4F66-8CDF-1B9776E743DB}">
      <text>
        <r>
          <rPr>
            <sz val="11"/>
            <color theme="1"/>
            <rFont val="Calibri"/>
            <family val="2"/>
            <scheme val="minor"/>
          </rPr>
          <t>Introduzca la fecha prevista de adjudicación, en formato dd-mm-aaaa</t>
        </r>
      </text>
    </comment>
    <comment ref="F951" authorId="2" shapeId="0" xr:uid="{9311281E-A68D-43F8-93D7-D7893E0C9A18}">
      <text/>
    </comment>
    <comment ref="F952" authorId="2" shapeId="0" xr:uid="{C41F72FB-BC85-40A3-A21F-A91EC550973C}">
      <text/>
    </comment>
    <comment ref="A954" authorId="2" shapeId="0" xr:uid="{66864724-4A08-4F2D-9A8E-930782D08612}">
      <text>
        <r>
          <rPr>
            <sz val="11"/>
            <color theme="1"/>
            <rFont val="Calibri"/>
            <family val="2"/>
            <scheme val="minor"/>
          </rPr>
          <t>Introduzca un codigo UNSPSC</t>
        </r>
      </text>
    </comment>
    <comment ref="B954" authorId="2" shapeId="0" xr:uid="{273C9D8B-E921-4760-B9B1-11DB0E1A5284}">
      <text>
        <r>
          <rPr>
            <sz val="11"/>
            <color theme="1"/>
            <rFont val="Calibri"/>
            <family val="2"/>
            <scheme val="minor"/>
          </rPr>
          <t>Descripción calculada automáticamente a partir de código del artículo</t>
        </r>
      </text>
    </comment>
    <comment ref="C954" authorId="2" shapeId="0" xr:uid="{E24B9113-430E-4C1F-AA4D-DF4E6C4BA984}">
      <text>
        <r>
          <rPr>
            <sz val="11"/>
            <color theme="1"/>
            <rFont val="Calibri"/>
            <family val="2"/>
            <scheme val="minor"/>
          </rPr>
          <t>Seleccione un valor de la lista</t>
        </r>
      </text>
    </comment>
    <comment ref="D954" authorId="2" shapeId="0" xr:uid="{4F24213A-B9BC-4BCA-9B09-EB5B22E029BA}">
      <text>
        <r>
          <rPr>
            <sz val="11"/>
            <color theme="1"/>
            <rFont val="Calibri"/>
            <family val="2"/>
            <scheme val="minor"/>
          </rPr>
          <t>Introduzca un número con dos decimales como máximo. Debe ser igual o mayor a la "Cantidad Real Consumida"</t>
        </r>
      </text>
    </comment>
    <comment ref="E954" authorId="2" shapeId="0" xr:uid="{3AFC7A26-50D6-4ED2-B29A-D92F1D61375C}">
      <text>
        <r>
          <rPr>
            <sz val="11"/>
            <color theme="1"/>
            <rFont val="Calibri"/>
            <family val="2"/>
            <scheme val="minor"/>
          </rPr>
          <t>Introduzca un número con dos decimales como máximo</t>
        </r>
      </text>
    </comment>
    <comment ref="F954" authorId="2" shapeId="0" xr:uid="{4A592525-1F80-4230-8981-3F7D21E0725B}">
      <text>
        <r>
          <rPr>
            <sz val="11"/>
            <color theme="1"/>
            <rFont val="Calibri"/>
            <family val="2"/>
            <scheme val="minor"/>
          </rPr>
          <t>Monto calculado automáticamente por el sistema</t>
        </r>
      </text>
    </comment>
    <comment ref="A959" authorId="2" shapeId="0" xr:uid="{4BF9C505-3226-4C5B-BC6E-EBD36C81D56D}">
      <text>
        <r>
          <rPr>
            <sz val="11"/>
            <color theme="1"/>
            <rFont val="Calibri"/>
            <family val="2"/>
            <scheme val="minor"/>
          </rPr>
          <t>Introducir un texto con el nombre o referencia de la contratación</t>
        </r>
      </text>
    </comment>
    <comment ref="B959" authorId="2" shapeId="0" xr:uid="{0333BE0B-EC7F-4DAA-81D0-B58217BD0C3E}">
      <text>
        <r>
          <rPr>
            <sz val="11"/>
            <color theme="1"/>
            <rFont val="Calibri"/>
            <family val="2"/>
            <scheme val="minor"/>
          </rPr>
          <t>Introduzca un texto con la finalidad de la contratación</t>
        </r>
      </text>
    </comment>
    <comment ref="C959" authorId="2" shapeId="0" xr:uid="{7B8322B7-6F8E-477B-91A8-8AE77AD9CD85}">
      <text>
        <r>
          <rPr>
            <sz val="11"/>
            <color theme="1"/>
            <rFont val="Calibri"/>
            <family val="2"/>
            <scheme val="minor"/>
          </rPr>
          <t>Seleccionar un valor del listado</t>
        </r>
      </text>
    </comment>
    <comment ref="D959" authorId="2" shapeId="0" xr:uid="{DD458AD0-FB5D-4CA9-9945-75B38485F797}">
      <text>
        <r>
          <rPr>
            <sz val="11"/>
            <color theme="1"/>
            <rFont val="Calibri"/>
            <family val="2"/>
            <scheme val="minor"/>
          </rPr>
          <t>Seleccione el tipo de procedimiento</t>
        </r>
      </text>
    </comment>
    <comment ref="E959" authorId="2" shapeId="0" xr:uid="{C9887119-2529-409A-A388-9FCB5F372FE0}">
      <text>
        <r>
          <rPr>
            <sz val="11"/>
            <color theme="1"/>
            <rFont val="Calibri"/>
            <family val="2"/>
            <scheme val="minor"/>
          </rPr>
          <t>Seleccione un valor de la lista</t>
        </r>
      </text>
    </comment>
    <comment ref="F959" authorId="2" shapeId="0" xr:uid="{29F48DA5-447A-45DD-8A25-6743F6C3F7AF}">
      <text>
        <r>
          <rPr>
            <sz val="11"/>
            <color theme="1"/>
            <rFont val="Calibri"/>
            <family val="2"/>
            <scheme val="minor"/>
          </rPr>
          <t>Introduzca el código SNIP</t>
        </r>
      </text>
    </comment>
    <comment ref="C960" authorId="2" shapeId="0" xr:uid="{8503D466-DC71-4E01-A007-35C3C1A8E54A}">
      <text>
        <r>
          <rPr>
            <sz val="11"/>
            <color theme="1"/>
            <rFont val="Calibri"/>
            <family val="2"/>
            <scheme val="minor"/>
          </rPr>
          <t>Introduzca la fecha de inicio del proceso, en formato dd-mm-aaaa</t>
        </r>
      </text>
    </comment>
    <comment ref="F960" authorId="2" shapeId="0" xr:uid="{36FC8BE2-C3A8-4A83-8EA7-F6C5766973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2" shapeId="0" xr:uid="{8B6832D1-FB50-423C-9E73-FCCDC2CC950C}">
      <text/>
    </comment>
    <comment ref="C962" authorId="2" shapeId="0" xr:uid="{EC7BBC93-067D-47DF-9C26-53157B2C437F}">
      <text>
        <r>
          <rPr>
            <sz val="11"/>
            <color theme="1"/>
            <rFont val="Calibri"/>
            <family val="2"/>
            <scheme val="minor"/>
          </rPr>
          <t>Introduzca la fecha prevista de adjudicación, en formato dd-mm-aaaa</t>
        </r>
      </text>
    </comment>
    <comment ref="F962" authorId="2" shapeId="0" xr:uid="{4D139B17-7924-42DE-ACB4-D654579775D4}">
      <text/>
    </comment>
    <comment ref="F963" authorId="2" shapeId="0" xr:uid="{F9C9D5B6-5174-426D-AD2D-86DA6E7FC6B6}">
      <text/>
    </comment>
    <comment ref="A965" authorId="2" shapeId="0" xr:uid="{2DCAC49E-3D7D-43B7-A43E-EB47E0C64D49}">
      <text>
        <r>
          <rPr>
            <sz val="11"/>
            <color theme="1"/>
            <rFont val="Calibri"/>
            <family val="2"/>
            <scheme val="minor"/>
          </rPr>
          <t>Introduzca un codigo UNSPSC</t>
        </r>
      </text>
    </comment>
    <comment ref="B965" authorId="2" shapeId="0" xr:uid="{71501CC4-5EAA-4A8D-BF8B-D8FE12B320BD}">
      <text>
        <r>
          <rPr>
            <sz val="11"/>
            <color theme="1"/>
            <rFont val="Calibri"/>
            <family val="2"/>
            <scheme val="minor"/>
          </rPr>
          <t>Descripción calculada automáticamente a partir de código del artículo</t>
        </r>
      </text>
    </comment>
    <comment ref="C965" authorId="2" shapeId="0" xr:uid="{F6D3D768-821A-45ED-99D4-7D0FFC4EC184}">
      <text>
        <r>
          <rPr>
            <sz val="11"/>
            <color theme="1"/>
            <rFont val="Calibri"/>
            <family val="2"/>
            <scheme val="minor"/>
          </rPr>
          <t>Seleccione un valor de la lista</t>
        </r>
      </text>
    </comment>
    <comment ref="D965" authorId="2" shapeId="0" xr:uid="{39BB5C71-32DB-48B8-8BF9-57C1232B9190}">
      <text>
        <r>
          <rPr>
            <sz val="11"/>
            <color theme="1"/>
            <rFont val="Calibri"/>
            <family val="2"/>
            <scheme val="minor"/>
          </rPr>
          <t>Introduzca un número con dos decimales como máximo. Debe ser igual o mayor a la "Cantidad Real Consumida"</t>
        </r>
      </text>
    </comment>
    <comment ref="E965" authorId="2" shapeId="0" xr:uid="{0EC604F7-46F3-43A0-9C8D-ADC85E64FD77}">
      <text>
        <r>
          <rPr>
            <sz val="11"/>
            <color theme="1"/>
            <rFont val="Calibri"/>
            <family val="2"/>
            <scheme val="minor"/>
          </rPr>
          <t>Introduzca un número con dos decimales como máximo</t>
        </r>
      </text>
    </comment>
    <comment ref="F965" authorId="2" shapeId="0" xr:uid="{44EDDA74-6734-4879-AD3F-7AC5A8CDB7E0}">
      <text>
        <r>
          <rPr>
            <sz val="11"/>
            <color theme="1"/>
            <rFont val="Calibri"/>
            <family val="2"/>
            <scheme val="minor"/>
          </rPr>
          <t>Monto calculado automáticamente por el sistema</t>
        </r>
      </text>
    </comment>
    <comment ref="A970" authorId="2" shapeId="0" xr:uid="{015E1D5D-29C3-4576-99A2-BA9047BED118}">
      <text>
        <r>
          <rPr>
            <sz val="11"/>
            <color theme="1"/>
            <rFont val="Calibri"/>
            <family val="2"/>
            <scheme val="minor"/>
          </rPr>
          <t>Introducir un texto con el nombre o referencia de la contratación</t>
        </r>
      </text>
    </comment>
    <comment ref="B970" authorId="2" shapeId="0" xr:uid="{4DD9D981-9F8E-4FE7-A260-56714C478258}">
      <text>
        <r>
          <rPr>
            <sz val="11"/>
            <color theme="1"/>
            <rFont val="Calibri"/>
            <family val="2"/>
            <scheme val="minor"/>
          </rPr>
          <t>Introduzca un texto con la finalidad de la contratación</t>
        </r>
      </text>
    </comment>
    <comment ref="C970" authorId="2" shapeId="0" xr:uid="{BD35384A-DF30-46F2-9FFE-8D26048828CB}">
      <text>
        <r>
          <rPr>
            <sz val="11"/>
            <color theme="1"/>
            <rFont val="Calibri"/>
            <family val="2"/>
            <scheme val="minor"/>
          </rPr>
          <t>Seleccionar un valor del listado</t>
        </r>
      </text>
    </comment>
    <comment ref="D970" authorId="2" shapeId="0" xr:uid="{91AF44A4-AE82-446A-BF16-A256415105D1}">
      <text>
        <r>
          <rPr>
            <sz val="11"/>
            <color theme="1"/>
            <rFont val="Calibri"/>
            <family val="2"/>
            <scheme val="minor"/>
          </rPr>
          <t>Seleccione el tipo de procedimiento</t>
        </r>
      </text>
    </comment>
    <comment ref="E970" authorId="2" shapeId="0" xr:uid="{F4AF3E87-D089-4874-9D7A-C2AD7E6F3AF0}">
      <text>
        <r>
          <rPr>
            <sz val="11"/>
            <color theme="1"/>
            <rFont val="Calibri"/>
            <family val="2"/>
            <scheme val="minor"/>
          </rPr>
          <t>Seleccione un valor de la lista</t>
        </r>
      </text>
    </comment>
    <comment ref="F970" authorId="2" shapeId="0" xr:uid="{4300BC91-F77F-4B83-BA42-633C1AD9BCCF}">
      <text>
        <r>
          <rPr>
            <sz val="11"/>
            <color theme="1"/>
            <rFont val="Calibri"/>
            <family val="2"/>
            <scheme val="minor"/>
          </rPr>
          <t>Introduzca el código SNIP</t>
        </r>
      </text>
    </comment>
    <comment ref="C971" authorId="2" shapeId="0" xr:uid="{419126BE-5A04-475F-A772-F0614C40D2A1}">
      <text>
        <r>
          <rPr>
            <sz val="11"/>
            <color theme="1"/>
            <rFont val="Calibri"/>
            <family val="2"/>
            <scheme val="minor"/>
          </rPr>
          <t>Introduzca la fecha de inicio del proceso, en formato dd-mm-aaaa</t>
        </r>
      </text>
    </comment>
    <comment ref="F971" authorId="2" shapeId="0" xr:uid="{6DB8EF27-6253-4376-B4AD-69D9298C67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2" shapeId="0" xr:uid="{78BFFEF7-2860-40FF-B79B-1B0192B25D54}">
      <text/>
    </comment>
    <comment ref="C973" authorId="2" shapeId="0" xr:uid="{5684C0A8-582E-42E5-86A8-5FE20CD97458}">
      <text>
        <r>
          <rPr>
            <sz val="11"/>
            <color theme="1"/>
            <rFont val="Calibri"/>
            <family val="2"/>
            <scheme val="minor"/>
          </rPr>
          <t>Introduzca la fecha prevista de adjudicación, en formato dd-mm-aaaa</t>
        </r>
      </text>
    </comment>
    <comment ref="F973" authorId="2" shapeId="0" xr:uid="{D83868E4-6372-4654-BF9F-82EEAFD42925}">
      <text/>
    </comment>
    <comment ref="F974" authorId="2" shapeId="0" xr:uid="{3E460C42-734F-4981-94C3-E096BB0F9C1F}">
      <text/>
    </comment>
    <comment ref="A976" authorId="2" shapeId="0" xr:uid="{7F2427F4-7213-40D4-A93C-0C7DF8EE39CF}">
      <text>
        <r>
          <rPr>
            <sz val="11"/>
            <color theme="1"/>
            <rFont val="Calibri"/>
            <family val="2"/>
            <scheme val="minor"/>
          </rPr>
          <t>Introduzca un codigo UNSPSC</t>
        </r>
      </text>
    </comment>
    <comment ref="B976" authorId="2" shapeId="0" xr:uid="{6122B7B3-4152-4B2B-9474-1D562B23057C}">
      <text>
        <r>
          <rPr>
            <sz val="11"/>
            <color theme="1"/>
            <rFont val="Calibri"/>
            <family val="2"/>
            <scheme val="minor"/>
          </rPr>
          <t>Descripción calculada automáticamente a partir de código del artículo</t>
        </r>
      </text>
    </comment>
    <comment ref="C976" authorId="2" shapeId="0" xr:uid="{245D2C48-3106-47B3-B1F6-93BB9120BD8E}">
      <text>
        <r>
          <rPr>
            <sz val="11"/>
            <color theme="1"/>
            <rFont val="Calibri"/>
            <family val="2"/>
            <scheme val="minor"/>
          </rPr>
          <t>Seleccione un valor de la lista</t>
        </r>
      </text>
    </comment>
    <comment ref="D976" authorId="2" shapeId="0" xr:uid="{BEF4B32D-6407-4221-95DA-F0C52E2C0FB7}">
      <text>
        <r>
          <rPr>
            <sz val="11"/>
            <color theme="1"/>
            <rFont val="Calibri"/>
            <family val="2"/>
            <scheme val="minor"/>
          </rPr>
          <t>Introduzca un número con dos decimales como máximo. Debe ser igual o mayor a la "Cantidad Real Consumida"</t>
        </r>
      </text>
    </comment>
    <comment ref="E976" authorId="2" shapeId="0" xr:uid="{687806E5-72D3-4AD6-87D0-9A5DE0F55A39}">
      <text>
        <r>
          <rPr>
            <sz val="11"/>
            <color theme="1"/>
            <rFont val="Calibri"/>
            <family val="2"/>
            <scheme val="minor"/>
          </rPr>
          <t>Introduzca un número con dos decimales como máximo</t>
        </r>
      </text>
    </comment>
    <comment ref="F976" authorId="2" shapeId="0" xr:uid="{0335CBB1-0955-4199-BF05-28113F1B9E70}">
      <text>
        <r>
          <rPr>
            <sz val="11"/>
            <color theme="1"/>
            <rFont val="Calibri"/>
            <family val="2"/>
            <scheme val="minor"/>
          </rPr>
          <t>Monto calculado automáticamente por el sistema</t>
        </r>
      </text>
    </comment>
    <comment ref="A981" authorId="2" shapeId="0" xr:uid="{6B37E6D3-5E76-465E-8876-41F3BD7C4144}">
      <text>
        <r>
          <rPr>
            <sz val="11"/>
            <color theme="1"/>
            <rFont val="Calibri"/>
            <family val="2"/>
            <scheme val="minor"/>
          </rPr>
          <t>Introducir un texto con el nombre o referencia de la contratación</t>
        </r>
      </text>
    </comment>
    <comment ref="B981" authorId="2" shapeId="0" xr:uid="{3687E734-8AE8-47AA-A3FD-6ADEECF6F0E9}">
      <text>
        <r>
          <rPr>
            <sz val="11"/>
            <color theme="1"/>
            <rFont val="Calibri"/>
            <family val="2"/>
            <scheme val="minor"/>
          </rPr>
          <t>Introduzca un texto con la finalidad de la contratación</t>
        </r>
      </text>
    </comment>
    <comment ref="C981" authorId="2" shapeId="0" xr:uid="{455B76E3-7987-4898-B137-F65FB2CBA95F}">
      <text>
        <r>
          <rPr>
            <sz val="11"/>
            <color theme="1"/>
            <rFont val="Calibri"/>
            <family val="2"/>
            <scheme val="minor"/>
          </rPr>
          <t>Seleccionar un valor del listado</t>
        </r>
      </text>
    </comment>
    <comment ref="D981" authorId="2" shapeId="0" xr:uid="{9F07EFD4-CAC9-4B79-9E65-1B4BA5F82138}">
      <text>
        <r>
          <rPr>
            <sz val="11"/>
            <color theme="1"/>
            <rFont val="Calibri"/>
            <family val="2"/>
            <scheme val="minor"/>
          </rPr>
          <t>Seleccione el tipo de procedimiento</t>
        </r>
      </text>
    </comment>
    <comment ref="E981" authorId="2" shapeId="0" xr:uid="{7EE9B0BF-3A84-4CF1-89FB-A007BEA3E4D6}">
      <text>
        <r>
          <rPr>
            <sz val="11"/>
            <color theme="1"/>
            <rFont val="Calibri"/>
            <family val="2"/>
            <scheme val="minor"/>
          </rPr>
          <t>Seleccione un valor de la lista</t>
        </r>
      </text>
    </comment>
    <comment ref="F981" authorId="2" shapeId="0" xr:uid="{027D978F-711C-40C3-AD8E-7FD8E32BF49F}">
      <text>
        <r>
          <rPr>
            <sz val="11"/>
            <color theme="1"/>
            <rFont val="Calibri"/>
            <family val="2"/>
            <scheme val="minor"/>
          </rPr>
          <t>Introduzca el código SNIP</t>
        </r>
      </text>
    </comment>
    <comment ref="C982" authorId="2" shapeId="0" xr:uid="{1F720872-C364-4140-A740-D25999234B7F}">
      <text>
        <r>
          <rPr>
            <sz val="11"/>
            <color theme="1"/>
            <rFont val="Calibri"/>
            <family val="2"/>
            <scheme val="minor"/>
          </rPr>
          <t>Introduzca la fecha de inicio del proceso, en formato dd-mm-aaaa</t>
        </r>
      </text>
    </comment>
    <comment ref="F982" authorId="2" shapeId="0" xr:uid="{6A5E0D26-99A8-45A5-BC68-7EC527CA57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shapeId="0" xr:uid="{86D8C01E-BCAF-4663-B354-BB075FF486DB}">
      <text/>
    </comment>
    <comment ref="C984" authorId="2" shapeId="0" xr:uid="{CA388B50-335A-4008-B5D6-B5123EC1006F}">
      <text>
        <r>
          <rPr>
            <sz val="11"/>
            <color theme="1"/>
            <rFont val="Calibri"/>
            <family val="2"/>
            <scheme val="minor"/>
          </rPr>
          <t>Introduzca la fecha prevista de adjudicación, en formato dd-mm-aaaa</t>
        </r>
      </text>
    </comment>
    <comment ref="F984" authorId="2" shapeId="0" xr:uid="{D6993025-4CAD-4C40-AB2B-752881CB7246}">
      <text/>
    </comment>
    <comment ref="F985" authorId="2" shapeId="0" xr:uid="{C1544BFB-9007-4E01-A047-1B3E8BC60974}">
      <text/>
    </comment>
    <comment ref="A987" authorId="2" shapeId="0" xr:uid="{B5EEDEF1-4A82-4046-AE53-6FD3A9C2D66E}">
      <text>
        <r>
          <rPr>
            <sz val="11"/>
            <color theme="1"/>
            <rFont val="Calibri"/>
            <family val="2"/>
            <scheme val="minor"/>
          </rPr>
          <t>Introduzca un codigo UNSPSC</t>
        </r>
      </text>
    </comment>
    <comment ref="B987" authorId="2" shapeId="0" xr:uid="{56184653-8787-462C-B36B-10EE98FA13B4}">
      <text>
        <r>
          <rPr>
            <sz val="11"/>
            <color theme="1"/>
            <rFont val="Calibri"/>
            <family val="2"/>
            <scheme val="minor"/>
          </rPr>
          <t>Descripción calculada automáticamente a partir de código del artículo</t>
        </r>
      </text>
    </comment>
    <comment ref="C987" authorId="2" shapeId="0" xr:uid="{23D849B1-91AB-40AD-BA2C-E581FF9DE77D}">
      <text>
        <r>
          <rPr>
            <sz val="11"/>
            <color theme="1"/>
            <rFont val="Calibri"/>
            <family val="2"/>
            <scheme val="minor"/>
          </rPr>
          <t>Seleccione un valor de la lista</t>
        </r>
      </text>
    </comment>
    <comment ref="D987" authorId="2" shapeId="0" xr:uid="{D40C4F47-D67B-4775-8E5E-3EAD254B7F5D}">
      <text>
        <r>
          <rPr>
            <sz val="11"/>
            <color theme="1"/>
            <rFont val="Calibri"/>
            <family val="2"/>
            <scheme val="minor"/>
          </rPr>
          <t>Introduzca un número con dos decimales como máximo. Debe ser igual o mayor a la "Cantidad Real Consumida"</t>
        </r>
      </text>
    </comment>
    <comment ref="E987" authorId="2" shapeId="0" xr:uid="{DD28D5B1-8713-4464-BE9B-BE1BE1257B51}">
      <text>
        <r>
          <rPr>
            <sz val="11"/>
            <color theme="1"/>
            <rFont val="Calibri"/>
            <family val="2"/>
            <scheme val="minor"/>
          </rPr>
          <t>Introduzca un número con dos decimales como máximo</t>
        </r>
      </text>
    </comment>
    <comment ref="F987" authorId="2" shapeId="0" xr:uid="{1E757758-6433-4332-A988-A72651F45446}">
      <text>
        <r>
          <rPr>
            <sz val="11"/>
            <color theme="1"/>
            <rFont val="Calibri"/>
            <family val="2"/>
            <scheme val="minor"/>
          </rPr>
          <t>Monto calculado automáticamente por el sistema</t>
        </r>
      </text>
    </comment>
    <comment ref="A992" authorId="2" shapeId="0" xr:uid="{5F0405F1-DF8C-4ED9-8D36-C4A109FA0398}">
      <text>
        <r>
          <rPr>
            <sz val="11"/>
            <color theme="1"/>
            <rFont val="Calibri"/>
            <family val="2"/>
            <scheme val="minor"/>
          </rPr>
          <t>Introducir un texto con el nombre o referencia de la contratación</t>
        </r>
      </text>
    </comment>
    <comment ref="B992" authorId="2" shapeId="0" xr:uid="{83C55923-C145-4FB4-8BCB-ECBFD9DA1ACF}">
      <text>
        <r>
          <rPr>
            <sz val="11"/>
            <color theme="1"/>
            <rFont val="Calibri"/>
            <family val="2"/>
            <scheme val="minor"/>
          </rPr>
          <t>Introduzca un texto con la finalidad de la contratación</t>
        </r>
      </text>
    </comment>
    <comment ref="C992" authorId="2" shapeId="0" xr:uid="{384B1E30-1341-4733-BE1E-CD69358949BF}">
      <text>
        <r>
          <rPr>
            <sz val="11"/>
            <color theme="1"/>
            <rFont val="Calibri"/>
            <family val="2"/>
            <scheme val="minor"/>
          </rPr>
          <t>Seleccionar un valor del listado</t>
        </r>
      </text>
    </comment>
    <comment ref="D992" authorId="2" shapeId="0" xr:uid="{59DE6F6F-BED3-4BFD-8A43-FED99BDA1991}">
      <text>
        <r>
          <rPr>
            <sz val="11"/>
            <color theme="1"/>
            <rFont val="Calibri"/>
            <family val="2"/>
            <scheme val="minor"/>
          </rPr>
          <t>Seleccione el tipo de procedimiento</t>
        </r>
      </text>
    </comment>
    <comment ref="E992" authorId="2" shapeId="0" xr:uid="{99775A0B-8D79-4EC2-8681-5CC4F79E0893}">
      <text>
        <r>
          <rPr>
            <sz val="11"/>
            <color theme="1"/>
            <rFont val="Calibri"/>
            <family val="2"/>
            <scheme val="minor"/>
          </rPr>
          <t>Seleccione un valor de la lista</t>
        </r>
      </text>
    </comment>
    <comment ref="F992" authorId="2" shapeId="0" xr:uid="{1D75DAF6-8A2E-45AD-8ED5-9E84C88F44A9}">
      <text>
        <r>
          <rPr>
            <sz val="11"/>
            <color theme="1"/>
            <rFont val="Calibri"/>
            <family val="2"/>
            <scheme val="minor"/>
          </rPr>
          <t>Introduzca el código SNIP</t>
        </r>
      </text>
    </comment>
    <comment ref="C993" authorId="2" shapeId="0" xr:uid="{527CDAB4-254A-4B06-82C8-C6105C304DFB}">
      <text>
        <r>
          <rPr>
            <sz val="11"/>
            <color theme="1"/>
            <rFont val="Calibri"/>
            <family val="2"/>
            <scheme val="minor"/>
          </rPr>
          <t>Introduzca la fecha de inicio del proceso, en formato dd-mm-aaaa</t>
        </r>
      </text>
    </comment>
    <comment ref="F993" authorId="2" shapeId="0" xr:uid="{ACB5221E-10B1-454D-9C91-76445A50F5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2" shapeId="0" xr:uid="{73EDD842-5E69-4C08-8385-0E3398D0FC9C}">
      <text/>
    </comment>
    <comment ref="C995" authorId="2" shapeId="0" xr:uid="{D99C958D-661F-40B6-B324-2FF0BC07281F}">
      <text>
        <r>
          <rPr>
            <sz val="11"/>
            <color theme="1"/>
            <rFont val="Calibri"/>
            <family val="2"/>
            <scheme val="minor"/>
          </rPr>
          <t>Introduzca la fecha prevista de adjudicación, en formato dd-mm-aaaa</t>
        </r>
      </text>
    </comment>
    <comment ref="F995" authorId="2" shapeId="0" xr:uid="{94482CBA-3D3F-4D6B-9603-5D632114F9C7}">
      <text/>
    </comment>
    <comment ref="F996" authorId="2" shapeId="0" xr:uid="{AC1C9552-821D-4C8F-BBA5-E79AA69E5121}">
      <text/>
    </comment>
    <comment ref="A998" authorId="2" shapeId="0" xr:uid="{F7A7F5D3-77DF-4545-8271-34D90390348B}">
      <text>
        <r>
          <rPr>
            <sz val="11"/>
            <color theme="1"/>
            <rFont val="Calibri"/>
            <family val="2"/>
            <scheme val="minor"/>
          </rPr>
          <t>Introduzca un codigo UNSPSC</t>
        </r>
      </text>
    </comment>
    <comment ref="B998" authorId="2" shapeId="0" xr:uid="{15F22AF2-4EB6-4822-B469-5B22DE983159}">
      <text>
        <r>
          <rPr>
            <sz val="11"/>
            <color theme="1"/>
            <rFont val="Calibri"/>
            <family val="2"/>
            <scheme val="minor"/>
          </rPr>
          <t>Descripción calculada automáticamente a partir de código del artículo</t>
        </r>
      </text>
    </comment>
    <comment ref="C998" authorId="2" shapeId="0" xr:uid="{305B0DBB-D32C-42F9-91B5-3E111FA3DC1D}">
      <text>
        <r>
          <rPr>
            <sz val="11"/>
            <color theme="1"/>
            <rFont val="Calibri"/>
            <family val="2"/>
            <scheme val="minor"/>
          </rPr>
          <t>Seleccione un valor de la lista</t>
        </r>
      </text>
    </comment>
    <comment ref="D998" authorId="2" shapeId="0" xr:uid="{2876F718-32D8-42A9-8C19-8F55CC4ECBA6}">
      <text>
        <r>
          <rPr>
            <sz val="11"/>
            <color theme="1"/>
            <rFont val="Calibri"/>
            <family val="2"/>
            <scheme val="minor"/>
          </rPr>
          <t>Introduzca un número con dos decimales como máximo. Debe ser igual o mayor a la "Cantidad Real Consumida"</t>
        </r>
      </text>
    </comment>
    <comment ref="E998" authorId="2" shapeId="0" xr:uid="{4CB6327E-48EC-41F4-9148-1ECA649CA99E}">
      <text>
        <r>
          <rPr>
            <sz val="11"/>
            <color theme="1"/>
            <rFont val="Calibri"/>
            <family val="2"/>
            <scheme val="minor"/>
          </rPr>
          <t>Introduzca un número con dos decimales como máximo</t>
        </r>
      </text>
    </comment>
    <comment ref="F998" authorId="2" shapeId="0" xr:uid="{F98F5E1E-40E7-4286-A14F-00C685A7B1AB}">
      <text>
        <r>
          <rPr>
            <sz val="11"/>
            <color theme="1"/>
            <rFont val="Calibri"/>
            <family val="2"/>
            <scheme val="minor"/>
          </rPr>
          <t>Monto calculado automáticamente por el sistema</t>
        </r>
      </text>
    </comment>
    <comment ref="A1003" authorId="2" shapeId="0" xr:uid="{99479CDC-0EE1-486A-BA54-AB59A21E2780}">
      <text>
        <r>
          <rPr>
            <sz val="11"/>
            <color theme="1"/>
            <rFont val="Calibri"/>
            <family val="2"/>
            <scheme val="minor"/>
          </rPr>
          <t>Introducir un texto con el nombre o referencia de la contratación</t>
        </r>
      </text>
    </comment>
    <comment ref="B1003" authorId="2" shapeId="0" xr:uid="{BE649D31-0A0D-4A02-9152-5CC94CA0EA4C}">
      <text>
        <r>
          <rPr>
            <sz val="11"/>
            <color theme="1"/>
            <rFont val="Calibri"/>
            <family val="2"/>
            <scheme val="minor"/>
          </rPr>
          <t>Introduzca un texto con la finalidad de la contratación</t>
        </r>
      </text>
    </comment>
    <comment ref="C1003" authorId="2" shapeId="0" xr:uid="{95742391-96BD-437F-8785-C86D9A8FCD3E}">
      <text>
        <r>
          <rPr>
            <sz val="11"/>
            <color theme="1"/>
            <rFont val="Calibri"/>
            <family val="2"/>
            <scheme val="minor"/>
          </rPr>
          <t>Seleccionar un valor del listado</t>
        </r>
      </text>
    </comment>
    <comment ref="D1003" authorId="2" shapeId="0" xr:uid="{C3B42281-6FB1-450E-AE62-E2C1403D7800}">
      <text>
        <r>
          <rPr>
            <sz val="11"/>
            <color theme="1"/>
            <rFont val="Calibri"/>
            <family val="2"/>
            <scheme val="minor"/>
          </rPr>
          <t>Seleccione el tipo de procedimiento</t>
        </r>
      </text>
    </comment>
    <comment ref="E1003" authorId="2" shapeId="0" xr:uid="{5BB384C0-82E6-4E46-8914-1143F3645C66}">
      <text>
        <r>
          <rPr>
            <sz val="11"/>
            <color theme="1"/>
            <rFont val="Calibri"/>
            <family val="2"/>
            <scheme val="minor"/>
          </rPr>
          <t>Seleccione un valor de la lista</t>
        </r>
      </text>
    </comment>
    <comment ref="F1003" authorId="2" shapeId="0" xr:uid="{8C1E431D-1924-42B9-A9D0-06C77ECF68B1}">
      <text>
        <r>
          <rPr>
            <sz val="11"/>
            <color theme="1"/>
            <rFont val="Calibri"/>
            <family val="2"/>
            <scheme val="minor"/>
          </rPr>
          <t>Introduzca el código SNIP</t>
        </r>
      </text>
    </comment>
    <comment ref="C1004" authorId="2" shapeId="0" xr:uid="{9CFF0D54-4B48-4734-B620-E6B3869EA586}">
      <text>
        <r>
          <rPr>
            <sz val="11"/>
            <color theme="1"/>
            <rFont val="Calibri"/>
            <family val="2"/>
            <scheme val="minor"/>
          </rPr>
          <t>Introduzca la fecha de inicio del proceso, en formato dd-mm-aaaa</t>
        </r>
      </text>
    </comment>
    <comment ref="F1004" authorId="2" shapeId="0" xr:uid="{AE42C038-EFAB-4A8D-9C77-FEC434AB18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xr:uid="{6417A894-45D2-490A-8739-93F257259B74}">
      <text/>
    </comment>
    <comment ref="C1006" authorId="2" shapeId="0" xr:uid="{BD38F017-4028-4900-8FA4-D34ACAC2B068}">
      <text>
        <r>
          <rPr>
            <sz val="11"/>
            <color theme="1"/>
            <rFont val="Calibri"/>
            <family val="2"/>
            <scheme val="minor"/>
          </rPr>
          <t>Introduzca la fecha prevista de adjudicación, en formato dd-mm-aaaa</t>
        </r>
      </text>
    </comment>
    <comment ref="F1006" authorId="2" shapeId="0" xr:uid="{06179470-8EDE-4E12-AD42-B04927D19652}">
      <text/>
    </comment>
    <comment ref="F1007" authorId="2" shapeId="0" xr:uid="{FB95D6B1-6A5B-4D93-B9C6-8D0B686AE0FD}">
      <text/>
    </comment>
    <comment ref="A1009" authorId="2" shapeId="0" xr:uid="{8C2012D1-8CDD-4F8C-AC1B-FEFAD11A534F}">
      <text>
        <r>
          <rPr>
            <sz val="11"/>
            <color theme="1"/>
            <rFont val="Calibri"/>
            <family val="2"/>
            <scheme val="minor"/>
          </rPr>
          <t>Introduzca un codigo UNSPSC</t>
        </r>
      </text>
    </comment>
    <comment ref="B1009" authorId="2" shapeId="0" xr:uid="{DD245BA6-7BCB-4468-90C7-719546AC6484}">
      <text>
        <r>
          <rPr>
            <sz val="11"/>
            <color theme="1"/>
            <rFont val="Calibri"/>
            <family val="2"/>
            <scheme val="minor"/>
          </rPr>
          <t>Descripción calculada automáticamente a partir de código del artículo</t>
        </r>
      </text>
    </comment>
    <comment ref="C1009" authorId="2" shapeId="0" xr:uid="{E88C92F3-FE3C-42A4-8FBA-7A873186CBE7}">
      <text>
        <r>
          <rPr>
            <sz val="11"/>
            <color theme="1"/>
            <rFont val="Calibri"/>
            <family val="2"/>
            <scheme val="minor"/>
          </rPr>
          <t>Seleccione un valor de la lista</t>
        </r>
      </text>
    </comment>
    <comment ref="D1009" authorId="2" shapeId="0" xr:uid="{0D2DEFC7-18A9-416D-BDB3-D6A3108DA6CF}">
      <text>
        <r>
          <rPr>
            <sz val="11"/>
            <color theme="1"/>
            <rFont val="Calibri"/>
            <family val="2"/>
            <scheme val="minor"/>
          </rPr>
          <t>Introduzca un número con dos decimales como máximo. Debe ser igual o mayor a la "Cantidad Real Consumida"</t>
        </r>
      </text>
    </comment>
    <comment ref="E1009" authorId="2" shapeId="0" xr:uid="{DEDEA25C-CE50-4ACE-911B-9D1C04ADEB2D}">
      <text>
        <r>
          <rPr>
            <sz val="11"/>
            <color theme="1"/>
            <rFont val="Calibri"/>
            <family val="2"/>
            <scheme val="minor"/>
          </rPr>
          <t>Introduzca un número con dos decimales como máximo</t>
        </r>
      </text>
    </comment>
    <comment ref="F1009" authorId="2" shapeId="0" xr:uid="{701CD6DC-9826-409C-B909-DC18E74C325D}">
      <text>
        <r>
          <rPr>
            <sz val="11"/>
            <color theme="1"/>
            <rFont val="Calibri"/>
            <family val="2"/>
            <scheme val="minor"/>
          </rPr>
          <t>Monto calculado automáticamente por el sistema</t>
        </r>
      </text>
    </comment>
    <comment ref="A1014" authorId="2" shapeId="0" xr:uid="{55671395-0D64-44F2-9968-3FB22658FA23}">
      <text>
        <r>
          <rPr>
            <sz val="11"/>
            <color theme="1"/>
            <rFont val="Calibri"/>
            <family val="2"/>
            <scheme val="minor"/>
          </rPr>
          <t>Introducir un texto con el nombre o referencia de la contratación</t>
        </r>
      </text>
    </comment>
    <comment ref="B1014" authorId="2" shapeId="0" xr:uid="{17B46B7A-A9C9-4FE6-BD6A-2EA8F5203CBB}">
      <text>
        <r>
          <rPr>
            <sz val="11"/>
            <color theme="1"/>
            <rFont val="Calibri"/>
            <family val="2"/>
            <scheme val="minor"/>
          </rPr>
          <t>Introduzca un texto con la finalidad de la contratación</t>
        </r>
      </text>
    </comment>
    <comment ref="C1014" authorId="2" shapeId="0" xr:uid="{E7A0A006-DA68-49C6-B9CB-9969ABA20F70}">
      <text>
        <r>
          <rPr>
            <sz val="11"/>
            <color theme="1"/>
            <rFont val="Calibri"/>
            <family val="2"/>
            <scheme val="minor"/>
          </rPr>
          <t>Seleccionar un valor del listado</t>
        </r>
      </text>
    </comment>
    <comment ref="D1014" authorId="2" shapeId="0" xr:uid="{AAA35C90-E874-4A55-85B9-AF5BE1428086}">
      <text>
        <r>
          <rPr>
            <sz val="11"/>
            <color theme="1"/>
            <rFont val="Calibri"/>
            <family val="2"/>
            <scheme val="minor"/>
          </rPr>
          <t>Seleccione el tipo de procedimiento</t>
        </r>
      </text>
    </comment>
    <comment ref="E1014" authorId="2" shapeId="0" xr:uid="{1F34DF55-A442-4608-835F-DC3D37CBD5BE}">
      <text>
        <r>
          <rPr>
            <sz val="11"/>
            <color theme="1"/>
            <rFont val="Calibri"/>
            <family val="2"/>
            <scheme val="minor"/>
          </rPr>
          <t>Seleccione un valor de la lista</t>
        </r>
      </text>
    </comment>
    <comment ref="F1014" authorId="2" shapeId="0" xr:uid="{21FBFD8E-7D68-49D1-9B4C-69448CB027AC}">
      <text>
        <r>
          <rPr>
            <sz val="11"/>
            <color theme="1"/>
            <rFont val="Calibri"/>
            <family val="2"/>
            <scheme val="minor"/>
          </rPr>
          <t>Introduzca el código SNIP</t>
        </r>
      </text>
    </comment>
    <comment ref="C1015" authorId="2" shapeId="0" xr:uid="{C158D60E-6B49-4EE2-8222-CBB1700700E9}">
      <text>
        <r>
          <rPr>
            <sz val="11"/>
            <color theme="1"/>
            <rFont val="Calibri"/>
            <family val="2"/>
            <scheme val="minor"/>
          </rPr>
          <t>Introduzca la fecha de inicio del proceso, en formato dd-mm-aaaa</t>
        </r>
      </text>
    </comment>
    <comment ref="F1015" authorId="2" shapeId="0" xr:uid="{8AB9AD51-A997-4FBD-B2AB-5D847E01C8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xr:uid="{D63F5CEE-FD27-4B42-90B6-7AE34D6C76EB}">
      <text/>
    </comment>
    <comment ref="C1017" authorId="2" shapeId="0" xr:uid="{A7606E00-C0BA-4E23-AC27-1A1466D7AA62}">
      <text>
        <r>
          <rPr>
            <sz val="11"/>
            <color theme="1"/>
            <rFont val="Calibri"/>
            <family val="2"/>
            <scheme val="minor"/>
          </rPr>
          <t>Introduzca la fecha prevista de adjudicación, en formato dd-mm-aaaa</t>
        </r>
      </text>
    </comment>
    <comment ref="F1017" authorId="2" shapeId="0" xr:uid="{2854B5B9-F599-4DAF-84F0-495DC68D66E8}">
      <text/>
    </comment>
    <comment ref="F1018" authorId="2" shapeId="0" xr:uid="{9EF358AC-BEA5-4500-B11C-A09B9F599123}">
      <text/>
    </comment>
    <comment ref="A1020" authorId="2" shapeId="0" xr:uid="{495D9C8C-2991-47DF-8993-646D7C6D90F2}">
      <text>
        <r>
          <rPr>
            <sz val="11"/>
            <color theme="1"/>
            <rFont val="Calibri"/>
            <family val="2"/>
            <scheme val="minor"/>
          </rPr>
          <t>Introduzca un codigo UNSPSC</t>
        </r>
      </text>
    </comment>
    <comment ref="B1020" authorId="2" shapeId="0" xr:uid="{2E4655E9-D900-42CD-B4A1-445954FD73FB}">
      <text>
        <r>
          <rPr>
            <sz val="11"/>
            <color theme="1"/>
            <rFont val="Calibri"/>
            <family val="2"/>
            <scheme val="minor"/>
          </rPr>
          <t>Descripción calculada automáticamente a partir de código del artículo</t>
        </r>
      </text>
    </comment>
    <comment ref="C1020" authorId="2" shapeId="0" xr:uid="{FAAB10CD-EF9F-4CB9-93BA-0069BFDE4BAA}">
      <text>
        <r>
          <rPr>
            <sz val="11"/>
            <color theme="1"/>
            <rFont val="Calibri"/>
            <family val="2"/>
            <scheme val="minor"/>
          </rPr>
          <t>Seleccione un valor de la lista</t>
        </r>
      </text>
    </comment>
    <comment ref="D1020" authorId="2" shapeId="0" xr:uid="{AB26702E-00AC-40BE-8FE3-18F9C268C0EB}">
      <text>
        <r>
          <rPr>
            <sz val="11"/>
            <color theme="1"/>
            <rFont val="Calibri"/>
            <family val="2"/>
            <scheme val="minor"/>
          </rPr>
          <t>Introduzca un número con dos decimales como máximo. Debe ser igual o mayor a la "Cantidad Real Consumida"</t>
        </r>
      </text>
    </comment>
    <comment ref="E1020" authorId="2" shapeId="0" xr:uid="{6E597858-2ECB-42A5-AD6D-25B6305E3820}">
      <text>
        <r>
          <rPr>
            <sz val="11"/>
            <color theme="1"/>
            <rFont val="Calibri"/>
            <family val="2"/>
            <scheme val="minor"/>
          </rPr>
          <t>Introduzca un número con dos decimales como máximo</t>
        </r>
      </text>
    </comment>
    <comment ref="F1020" authorId="2" shapeId="0" xr:uid="{CE0D8297-82DE-4595-A8E0-859C81EE132C}">
      <text>
        <r>
          <rPr>
            <sz val="11"/>
            <color theme="1"/>
            <rFont val="Calibri"/>
            <family val="2"/>
            <scheme val="minor"/>
          </rPr>
          <t>Monto calculado automáticamente por el sistema</t>
        </r>
      </text>
    </comment>
    <comment ref="A1025" authorId="2" shapeId="0" xr:uid="{FCE5ECC5-90F1-4082-AC3B-F2EF8BA2920B}">
      <text>
        <r>
          <rPr>
            <sz val="11"/>
            <color theme="1"/>
            <rFont val="Calibri"/>
            <family val="2"/>
            <scheme val="minor"/>
          </rPr>
          <t>Introducir un texto con el nombre o referencia de la contratación</t>
        </r>
      </text>
    </comment>
    <comment ref="B1025" authorId="2" shapeId="0" xr:uid="{AE171DAE-1A1E-4F17-92B4-19F9B98AFAE6}">
      <text>
        <r>
          <rPr>
            <sz val="11"/>
            <color theme="1"/>
            <rFont val="Calibri"/>
            <family val="2"/>
            <scheme val="minor"/>
          </rPr>
          <t>Introduzca un texto con la finalidad de la contratación</t>
        </r>
      </text>
    </comment>
    <comment ref="C1025" authorId="2" shapeId="0" xr:uid="{83C60389-5A31-4332-BC02-0AA0DF005993}">
      <text>
        <r>
          <rPr>
            <sz val="11"/>
            <color theme="1"/>
            <rFont val="Calibri"/>
            <family val="2"/>
            <scheme val="minor"/>
          </rPr>
          <t>Seleccionar un valor del listado</t>
        </r>
      </text>
    </comment>
    <comment ref="D1025" authorId="2" shapeId="0" xr:uid="{9DF2ABC2-06BF-462D-A6E8-D657E9655986}">
      <text>
        <r>
          <rPr>
            <sz val="11"/>
            <color theme="1"/>
            <rFont val="Calibri"/>
            <family val="2"/>
            <scheme val="minor"/>
          </rPr>
          <t>Seleccione el tipo de procedimiento</t>
        </r>
      </text>
    </comment>
    <comment ref="E1025" authorId="2" shapeId="0" xr:uid="{5047DBBF-29CB-44B3-974B-6129C2458E57}">
      <text>
        <r>
          <rPr>
            <sz val="11"/>
            <color theme="1"/>
            <rFont val="Calibri"/>
            <family val="2"/>
            <scheme val="minor"/>
          </rPr>
          <t>Seleccione un valor de la lista</t>
        </r>
      </text>
    </comment>
    <comment ref="F1025" authorId="2" shapeId="0" xr:uid="{348B9D81-1D2A-4A3B-83BB-73C205653F2D}">
      <text>
        <r>
          <rPr>
            <sz val="11"/>
            <color theme="1"/>
            <rFont val="Calibri"/>
            <family val="2"/>
            <scheme val="minor"/>
          </rPr>
          <t>Introduzca el código SNIP</t>
        </r>
      </text>
    </comment>
    <comment ref="C1026" authorId="2" shapeId="0" xr:uid="{0BF13550-CDC6-47A4-94ED-74A73BC86872}">
      <text>
        <r>
          <rPr>
            <sz val="11"/>
            <color theme="1"/>
            <rFont val="Calibri"/>
            <family val="2"/>
            <scheme val="minor"/>
          </rPr>
          <t>Introduzca la fecha de inicio del proceso, en formato dd-mm-aaaa</t>
        </r>
      </text>
    </comment>
    <comment ref="F1026" authorId="2" shapeId="0" xr:uid="{8215FF54-6131-4291-BFCF-559C988D7C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shapeId="0" xr:uid="{729CA52C-230A-4EE6-BDDD-DE53767FECE7}">
      <text/>
    </comment>
    <comment ref="C1028" authorId="2" shapeId="0" xr:uid="{A0537C4F-D6C6-47D7-9DEC-332402BD3482}">
      <text>
        <r>
          <rPr>
            <sz val="11"/>
            <color theme="1"/>
            <rFont val="Calibri"/>
            <family val="2"/>
            <scheme val="minor"/>
          </rPr>
          <t>Introduzca la fecha prevista de adjudicación, en formato dd-mm-aaaa</t>
        </r>
      </text>
    </comment>
    <comment ref="F1028" authorId="2" shapeId="0" xr:uid="{795BCD35-ABE0-40D5-A519-72A4C21C460E}">
      <text/>
    </comment>
    <comment ref="F1029" authorId="2" shapeId="0" xr:uid="{20CD0255-FF33-436A-B1DD-2F8C30EC92EB}">
      <text/>
    </comment>
    <comment ref="A1031" authorId="2" shapeId="0" xr:uid="{C7AFD2ED-FD33-456F-9117-4CB87A4C74AE}">
      <text>
        <r>
          <rPr>
            <sz val="11"/>
            <color theme="1"/>
            <rFont val="Calibri"/>
            <family val="2"/>
            <scheme val="minor"/>
          </rPr>
          <t>Introduzca un codigo UNSPSC</t>
        </r>
      </text>
    </comment>
    <comment ref="B1031" authorId="2" shapeId="0" xr:uid="{CF80C73F-C0FD-4751-8784-9208710A1FAB}">
      <text>
        <r>
          <rPr>
            <sz val="11"/>
            <color theme="1"/>
            <rFont val="Calibri"/>
            <family val="2"/>
            <scheme val="minor"/>
          </rPr>
          <t>Descripción calculada automáticamente a partir de código del artículo</t>
        </r>
      </text>
    </comment>
    <comment ref="C1031" authorId="2" shapeId="0" xr:uid="{5D5B85C0-B622-42F2-AC12-E60F3C5A9192}">
      <text>
        <r>
          <rPr>
            <sz val="11"/>
            <color theme="1"/>
            <rFont val="Calibri"/>
            <family val="2"/>
            <scheme val="minor"/>
          </rPr>
          <t>Seleccione un valor de la lista</t>
        </r>
      </text>
    </comment>
    <comment ref="D1031" authorId="2" shapeId="0" xr:uid="{15E6C6D8-D037-4A0C-86BF-E105600E102D}">
      <text>
        <r>
          <rPr>
            <sz val="11"/>
            <color theme="1"/>
            <rFont val="Calibri"/>
            <family val="2"/>
            <scheme val="minor"/>
          </rPr>
          <t>Introduzca un número con dos decimales como máximo. Debe ser igual o mayor a la "Cantidad Real Consumida"</t>
        </r>
      </text>
    </comment>
    <comment ref="E1031" authorId="2" shapeId="0" xr:uid="{0BC39214-7B04-4EB4-9264-BCFC1AAF6EAA}">
      <text>
        <r>
          <rPr>
            <sz val="11"/>
            <color theme="1"/>
            <rFont val="Calibri"/>
            <family val="2"/>
            <scheme val="minor"/>
          </rPr>
          <t>Introduzca un número con dos decimales como máximo</t>
        </r>
      </text>
    </comment>
    <comment ref="F1031" authorId="2" shapeId="0" xr:uid="{FCBBF0C1-9757-427E-9E16-3B2FD5EA4BB0}">
      <text>
        <r>
          <rPr>
            <sz val="11"/>
            <color theme="1"/>
            <rFont val="Calibri"/>
            <family val="2"/>
            <scheme val="minor"/>
          </rPr>
          <t>Monto calculado automáticamente por el sistema</t>
        </r>
      </text>
    </comment>
    <comment ref="A1036" authorId="2" shapeId="0" xr:uid="{12349334-BA5B-4DC7-AC23-A5A21A9C8800}">
      <text>
        <r>
          <rPr>
            <sz val="11"/>
            <color theme="1"/>
            <rFont val="Calibri"/>
            <family val="2"/>
            <scheme val="minor"/>
          </rPr>
          <t>Introducir un texto con el nombre o referencia de la contratación</t>
        </r>
      </text>
    </comment>
    <comment ref="B1036" authorId="2" shapeId="0" xr:uid="{A84B60F0-BB0B-465F-867E-25416EAEF25E}">
      <text>
        <r>
          <rPr>
            <sz val="11"/>
            <color theme="1"/>
            <rFont val="Calibri"/>
            <family val="2"/>
            <scheme val="minor"/>
          </rPr>
          <t>Introduzca un texto con la finalidad de la contratación</t>
        </r>
      </text>
    </comment>
    <comment ref="C1036" authorId="2" shapeId="0" xr:uid="{5022AF30-D778-4B7C-89A6-FE2457F62AD2}">
      <text>
        <r>
          <rPr>
            <sz val="11"/>
            <color theme="1"/>
            <rFont val="Calibri"/>
            <family val="2"/>
            <scheme val="minor"/>
          </rPr>
          <t>Seleccionar un valor del listado</t>
        </r>
      </text>
    </comment>
    <comment ref="D1036" authorId="2" shapeId="0" xr:uid="{F365F3DF-0C04-4E6A-9F8D-C52817934CE4}">
      <text>
        <r>
          <rPr>
            <sz val="11"/>
            <color theme="1"/>
            <rFont val="Calibri"/>
            <family val="2"/>
            <scheme val="minor"/>
          </rPr>
          <t>Seleccione el tipo de procedimiento</t>
        </r>
      </text>
    </comment>
    <comment ref="E1036" authorId="2" shapeId="0" xr:uid="{720606CA-E60F-49E5-8333-732A5B925734}">
      <text>
        <r>
          <rPr>
            <sz val="11"/>
            <color theme="1"/>
            <rFont val="Calibri"/>
            <family val="2"/>
            <scheme val="minor"/>
          </rPr>
          <t>Seleccione un valor de la lista</t>
        </r>
      </text>
    </comment>
    <comment ref="F1036" authorId="2" shapeId="0" xr:uid="{F73C04CB-A9A3-4B66-9944-23870F3A8BA6}">
      <text>
        <r>
          <rPr>
            <sz val="11"/>
            <color theme="1"/>
            <rFont val="Calibri"/>
            <family val="2"/>
            <scheme val="minor"/>
          </rPr>
          <t>Introduzca el código SNIP</t>
        </r>
      </text>
    </comment>
    <comment ref="C1037" authorId="2" shapeId="0" xr:uid="{36C915D2-8FE1-45EF-AAF3-1B6B0101B8A6}">
      <text>
        <r>
          <rPr>
            <sz val="11"/>
            <color theme="1"/>
            <rFont val="Calibri"/>
            <family val="2"/>
            <scheme val="minor"/>
          </rPr>
          <t>Introduzca la fecha de inicio del proceso, en formato dd-mm-aaaa</t>
        </r>
      </text>
    </comment>
    <comment ref="F1037" authorId="2" shapeId="0" xr:uid="{14ECF581-7F0D-41D5-8521-C21734E6DA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2" shapeId="0" xr:uid="{DF3DA69D-4F8A-4C6A-940A-9FF3247478E7}">
      <text/>
    </comment>
    <comment ref="C1039" authorId="2" shapeId="0" xr:uid="{62A7F01C-2BF4-4D47-B76B-5BA0B93FC1BE}">
      <text>
        <r>
          <rPr>
            <sz val="11"/>
            <color theme="1"/>
            <rFont val="Calibri"/>
            <family val="2"/>
            <scheme val="minor"/>
          </rPr>
          <t>Introduzca la fecha prevista de adjudicación, en formato dd-mm-aaaa</t>
        </r>
      </text>
    </comment>
    <comment ref="F1039" authorId="2" shapeId="0" xr:uid="{C51BB1CF-E01F-48BA-B04E-6F08A712423E}">
      <text/>
    </comment>
    <comment ref="F1040" authorId="2" shapeId="0" xr:uid="{19069176-D4D7-44C2-A638-E83CFA8095DE}">
      <text/>
    </comment>
    <comment ref="A1042" authorId="2" shapeId="0" xr:uid="{8B527D2C-A613-4E5B-9B2E-888439844350}">
      <text>
        <r>
          <rPr>
            <sz val="11"/>
            <color theme="1"/>
            <rFont val="Calibri"/>
            <family val="2"/>
            <scheme val="minor"/>
          </rPr>
          <t>Introduzca un codigo UNSPSC</t>
        </r>
      </text>
    </comment>
    <comment ref="B1042" authorId="2" shapeId="0" xr:uid="{834E2A6F-79A0-45D4-A10D-3C9A16B0FC8E}">
      <text>
        <r>
          <rPr>
            <sz val="11"/>
            <color theme="1"/>
            <rFont val="Calibri"/>
            <family val="2"/>
            <scheme val="minor"/>
          </rPr>
          <t>Descripción calculada automáticamente a partir de código del artículo</t>
        </r>
      </text>
    </comment>
    <comment ref="C1042" authorId="2" shapeId="0" xr:uid="{E1BC7222-FCCC-42AB-8FBA-940F8E02CDE7}">
      <text>
        <r>
          <rPr>
            <sz val="11"/>
            <color theme="1"/>
            <rFont val="Calibri"/>
            <family val="2"/>
            <scheme val="minor"/>
          </rPr>
          <t>Seleccione un valor de la lista</t>
        </r>
      </text>
    </comment>
    <comment ref="D1042" authorId="2" shapeId="0" xr:uid="{46C8EF4D-B316-4BCD-9E57-538B00BB655A}">
      <text>
        <r>
          <rPr>
            <sz val="11"/>
            <color theme="1"/>
            <rFont val="Calibri"/>
            <family val="2"/>
            <scheme val="minor"/>
          </rPr>
          <t>Introduzca un número con dos decimales como máximo. Debe ser igual o mayor a la "Cantidad Real Consumida"</t>
        </r>
      </text>
    </comment>
    <comment ref="E1042" authorId="2" shapeId="0" xr:uid="{E6785583-DEC6-4CE5-80F7-EAE92490B3E5}">
      <text>
        <r>
          <rPr>
            <sz val="11"/>
            <color theme="1"/>
            <rFont val="Calibri"/>
            <family val="2"/>
            <scheme val="minor"/>
          </rPr>
          <t>Introduzca un número con dos decimales como máximo</t>
        </r>
      </text>
    </comment>
    <comment ref="F1042" authorId="2" shapeId="0" xr:uid="{651A52E8-F608-4F18-9018-CC31DAF2478B}">
      <text>
        <r>
          <rPr>
            <sz val="11"/>
            <color theme="1"/>
            <rFont val="Calibri"/>
            <family val="2"/>
            <scheme val="minor"/>
          </rPr>
          <t>Monto calculado automáticamente por el sistema</t>
        </r>
      </text>
    </comment>
    <comment ref="A1047" authorId="2" shapeId="0" xr:uid="{8F6668F1-E9D6-4C34-A3DA-D083EBCAF784}">
      <text>
        <r>
          <rPr>
            <sz val="11"/>
            <color theme="1"/>
            <rFont val="Calibri"/>
            <family val="2"/>
            <scheme val="minor"/>
          </rPr>
          <t>Introducir un texto con el nombre o referencia de la contratación</t>
        </r>
      </text>
    </comment>
    <comment ref="B1047" authorId="2" shapeId="0" xr:uid="{E126E19F-C51A-49E2-9506-BB9FDDD30305}">
      <text>
        <r>
          <rPr>
            <sz val="11"/>
            <color theme="1"/>
            <rFont val="Calibri"/>
            <family val="2"/>
            <scheme val="minor"/>
          </rPr>
          <t>Introduzca un texto con la finalidad de la contratación</t>
        </r>
      </text>
    </comment>
    <comment ref="C1047" authorId="2" shapeId="0" xr:uid="{9E0FF8D0-5930-4812-A7C9-F1611DAF5825}">
      <text>
        <r>
          <rPr>
            <sz val="11"/>
            <color theme="1"/>
            <rFont val="Calibri"/>
            <family val="2"/>
            <scheme val="minor"/>
          </rPr>
          <t>Seleccionar un valor del listado</t>
        </r>
      </text>
    </comment>
    <comment ref="D1047" authorId="2" shapeId="0" xr:uid="{EC0FA9FA-68E9-4FFA-BF1E-4BD03DE2B83A}">
      <text>
        <r>
          <rPr>
            <sz val="11"/>
            <color theme="1"/>
            <rFont val="Calibri"/>
            <family val="2"/>
            <scheme val="minor"/>
          </rPr>
          <t>Seleccione el tipo de procedimiento</t>
        </r>
      </text>
    </comment>
    <comment ref="E1047" authorId="2" shapeId="0" xr:uid="{65A68D0E-8222-4911-8869-2AD72BE1BEC5}">
      <text>
        <r>
          <rPr>
            <sz val="11"/>
            <color theme="1"/>
            <rFont val="Calibri"/>
            <family val="2"/>
            <scheme val="minor"/>
          </rPr>
          <t>Seleccione un valor de la lista</t>
        </r>
      </text>
    </comment>
    <comment ref="F1047" authorId="2" shapeId="0" xr:uid="{D9B9F0E1-522B-42AE-876F-918F1056386D}">
      <text>
        <r>
          <rPr>
            <sz val="11"/>
            <color theme="1"/>
            <rFont val="Calibri"/>
            <family val="2"/>
            <scheme val="minor"/>
          </rPr>
          <t>Introduzca el código SNIP</t>
        </r>
      </text>
    </comment>
    <comment ref="C1048" authorId="2" shapeId="0" xr:uid="{DE9DA9FD-CC1C-4C67-9CBC-D07759AD1460}">
      <text>
        <r>
          <rPr>
            <sz val="11"/>
            <color theme="1"/>
            <rFont val="Calibri"/>
            <family val="2"/>
            <scheme val="minor"/>
          </rPr>
          <t>Introduzca la fecha de inicio del proceso, en formato dd-mm-aaaa</t>
        </r>
      </text>
    </comment>
    <comment ref="F1048" authorId="2" shapeId="0" xr:uid="{5426CA0E-C5B8-4203-BA13-90D36CC4D1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xr:uid="{86A2B949-AB6D-41E9-BF81-FE3956F45694}">
      <text/>
    </comment>
    <comment ref="C1050" authorId="2" shapeId="0" xr:uid="{7322489C-0DCF-4590-9D55-984014F38254}">
      <text>
        <r>
          <rPr>
            <sz val="11"/>
            <color theme="1"/>
            <rFont val="Calibri"/>
            <family val="2"/>
            <scheme val="minor"/>
          </rPr>
          <t>Introduzca la fecha prevista de adjudicación, en formato dd-mm-aaaa</t>
        </r>
      </text>
    </comment>
    <comment ref="F1050" authorId="2" shapeId="0" xr:uid="{D4FC7174-677A-4D1E-8D2B-FE2F320B0AC9}">
      <text/>
    </comment>
    <comment ref="F1051" authorId="2" shapeId="0" xr:uid="{C3FA8644-A862-4C8B-B034-617C4E0ABFC9}">
      <text/>
    </comment>
    <comment ref="A1053" authorId="2" shapeId="0" xr:uid="{82DFD17A-EC5D-4108-B5AC-0BCEE3FD99E1}">
      <text>
        <r>
          <rPr>
            <sz val="11"/>
            <color theme="1"/>
            <rFont val="Calibri"/>
            <family val="2"/>
            <scheme val="minor"/>
          </rPr>
          <t>Introduzca un codigo UNSPSC</t>
        </r>
      </text>
    </comment>
    <comment ref="B1053" authorId="2" shapeId="0" xr:uid="{41A951A4-F0ED-413B-A00D-CEE2A713A386}">
      <text>
        <r>
          <rPr>
            <sz val="11"/>
            <color theme="1"/>
            <rFont val="Calibri"/>
            <family val="2"/>
            <scheme val="minor"/>
          </rPr>
          <t>Descripción calculada automáticamente a partir de código del artículo</t>
        </r>
      </text>
    </comment>
    <comment ref="C1053" authorId="2" shapeId="0" xr:uid="{92F404E0-4996-4D4D-81B7-34EC01A7280B}">
      <text>
        <r>
          <rPr>
            <sz val="11"/>
            <color theme="1"/>
            <rFont val="Calibri"/>
            <family val="2"/>
            <scheme val="minor"/>
          </rPr>
          <t>Seleccione un valor de la lista</t>
        </r>
      </text>
    </comment>
    <comment ref="D1053" authorId="2" shapeId="0" xr:uid="{14F71016-E0A2-490B-B3AD-0C2C5D607376}">
      <text>
        <r>
          <rPr>
            <sz val="11"/>
            <color theme="1"/>
            <rFont val="Calibri"/>
            <family val="2"/>
            <scheme val="minor"/>
          </rPr>
          <t>Introduzca un número con dos decimales como máximo. Debe ser igual o mayor a la "Cantidad Real Consumida"</t>
        </r>
      </text>
    </comment>
    <comment ref="E1053" authorId="2" shapeId="0" xr:uid="{5CCAFB8A-7E87-43CE-AC46-D79322D81070}">
      <text>
        <r>
          <rPr>
            <sz val="11"/>
            <color theme="1"/>
            <rFont val="Calibri"/>
            <family val="2"/>
            <scheme val="minor"/>
          </rPr>
          <t>Introduzca un número con dos decimales como máximo</t>
        </r>
      </text>
    </comment>
    <comment ref="F1053" authorId="2" shapeId="0" xr:uid="{A2D6AA0A-3583-4247-A97C-EA3482DA1FDB}">
      <text>
        <r>
          <rPr>
            <sz val="11"/>
            <color theme="1"/>
            <rFont val="Calibri"/>
            <family val="2"/>
            <scheme val="minor"/>
          </rPr>
          <t>Monto calculado automáticamente por el sistema</t>
        </r>
      </text>
    </comment>
    <comment ref="A1058" authorId="2" shapeId="0" xr:uid="{A7363BC2-0C49-4C6A-BF70-C670C9F138B0}">
      <text>
        <r>
          <rPr>
            <sz val="11"/>
            <color theme="1"/>
            <rFont val="Calibri"/>
            <family val="2"/>
            <scheme val="minor"/>
          </rPr>
          <t>Introducir un texto con el nombre o referencia de la contratación</t>
        </r>
      </text>
    </comment>
    <comment ref="B1058" authorId="2" shapeId="0" xr:uid="{5B9041B8-B522-466F-BDDA-35ED16955FB6}">
      <text>
        <r>
          <rPr>
            <sz val="11"/>
            <color theme="1"/>
            <rFont val="Calibri"/>
            <family val="2"/>
            <scheme val="minor"/>
          </rPr>
          <t>Introduzca un texto con la finalidad de la contratación</t>
        </r>
      </text>
    </comment>
    <comment ref="C1058" authorId="2" shapeId="0" xr:uid="{DEE0ED1F-BBD4-4489-800E-954AF4202EF5}">
      <text>
        <r>
          <rPr>
            <sz val="11"/>
            <color theme="1"/>
            <rFont val="Calibri"/>
            <family val="2"/>
            <scheme val="minor"/>
          </rPr>
          <t>Seleccionar un valor del listado</t>
        </r>
      </text>
    </comment>
    <comment ref="D1058" authorId="2" shapeId="0" xr:uid="{7A3645FB-979D-4009-BB66-500EAD60C208}">
      <text>
        <r>
          <rPr>
            <sz val="11"/>
            <color theme="1"/>
            <rFont val="Calibri"/>
            <family val="2"/>
            <scheme val="minor"/>
          </rPr>
          <t>Seleccione el tipo de procedimiento</t>
        </r>
      </text>
    </comment>
    <comment ref="E1058" authorId="2" shapeId="0" xr:uid="{9E04506B-21E3-40F8-89BE-A41CB6976598}">
      <text>
        <r>
          <rPr>
            <sz val="11"/>
            <color theme="1"/>
            <rFont val="Calibri"/>
            <family val="2"/>
            <scheme val="minor"/>
          </rPr>
          <t>Seleccione un valor de la lista</t>
        </r>
      </text>
    </comment>
    <comment ref="F1058" authorId="2" shapeId="0" xr:uid="{2F8504CA-DD50-4022-B852-AE5C15956E19}">
      <text>
        <r>
          <rPr>
            <sz val="11"/>
            <color theme="1"/>
            <rFont val="Calibri"/>
            <family val="2"/>
            <scheme val="minor"/>
          </rPr>
          <t>Introduzca el código SNIP</t>
        </r>
      </text>
    </comment>
    <comment ref="C1059" authorId="2" shapeId="0" xr:uid="{AE24CF46-E79C-4974-BBE7-08E3DD2CC40B}">
      <text>
        <r>
          <rPr>
            <sz val="11"/>
            <color theme="1"/>
            <rFont val="Calibri"/>
            <family val="2"/>
            <scheme val="minor"/>
          </rPr>
          <t>Introduzca la fecha de inicio del proceso, en formato dd-mm-aaaa</t>
        </r>
      </text>
    </comment>
    <comment ref="F1059" authorId="2" shapeId="0" xr:uid="{35C6A1EA-CDBD-4669-93D3-C0725AECA8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2" shapeId="0" xr:uid="{CF8E7D1D-9EF2-497B-9753-3DF6B8E85DF9}">
      <text/>
    </comment>
    <comment ref="C1061" authorId="2" shapeId="0" xr:uid="{651E9821-E74F-41B4-B7EF-680546E2490E}">
      <text>
        <r>
          <rPr>
            <sz val="11"/>
            <color theme="1"/>
            <rFont val="Calibri"/>
            <family val="2"/>
            <scheme val="minor"/>
          </rPr>
          <t>Introduzca la fecha prevista de adjudicación, en formato dd-mm-aaaa</t>
        </r>
      </text>
    </comment>
    <comment ref="F1061" authorId="2" shapeId="0" xr:uid="{D00830EB-4FD7-4CC6-A1C2-B94504FABFA7}">
      <text/>
    </comment>
    <comment ref="F1062" authorId="2" shapeId="0" xr:uid="{8DD7754F-5FC8-493A-89FA-6C27E14EB39F}">
      <text/>
    </comment>
    <comment ref="A1064" authorId="2" shapeId="0" xr:uid="{E9D18AF5-AB9B-421E-BEFD-8EB3E8FAD829}">
      <text>
        <r>
          <rPr>
            <sz val="11"/>
            <color theme="1"/>
            <rFont val="Calibri"/>
            <family val="2"/>
            <scheme val="minor"/>
          </rPr>
          <t>Introduzca un codigo UNSPSC</t>
        </r>
      </text>
    </comment>
    <comment ref="B1064" authorId="2" shapeId="0" xr:uid="{F1BD7CA8-A753-4478-B4D4-F67022F12EB9}">
      <text>
        <r>
          <rPr>
            <sz val="11"/>
            <color theme="1"/>
            <rFont val="Calibri"/>
            <family val="2"/>
            <scheme val="minor"/>
          </rPr>
          <t>Descripción calculada automáticamente a partir de código del artículo</t>
        </r>
      </text>
    </comment>
    <comment ref="C1064" authorId="2" shapeId="0" xr:uid="{F3B82E18-F2C6-4DAE-8E99-18381BAF2186}">
      <text>
        <r>
          <rPr>
            <sz val="11"/>
            <color theme="1"/>
            <rFont val="Calibri"/>
            <family val="2"/>
            <scheme val="minor"/>
          </rPr>
          <t>Seleccione un valor de la lista</t>
        </r>
      </text>
    </comment>
    <comment ref="D1064" authorId="2" shapeId="0" xr:uid="{F16EDE80-0D0E-4154-8190-80968C6096AD}">
      <text>
        <r>
          <rPr>
            <sz val="11"/>
            <color theme="1"/>
            <rFont val="Calibri"/>
            <family val="2"/>
            <scheme val="minor"/>
          </rPr>
          <t>Introduzca un número con dos decimales como máximo. Debe ser igual o mayor a la "Cantidad Real Consumida"</t>
        </r>
      </text>
    </comment>
    <comment ref="E1064" authorId="2" shapeId="0" xr:uid="{4EA6906A-7819-42F8-9A9F-7353F2EF19E2}">
      <text>
        <r>
          <rPr>
            <sz val="11"/>
            <color theme="1"/>
            <rFont val="Calibri"/>
            <family val="2"/>
            <scheme val="minor"/>
          </rPr>
          <t>Introduzca un número con dos decimales como máximo</t>
        </r>
      </text>
    </comment>
    <comment ref="F1064" authorId="2" shapeId="0" xr:uid="{29F6D2A0-4F81-41B4-9C29-AA04B60C9A16}">
      <text>
        <r>
          <rPr>
            <sz val="11"/>
            <color theme="1"/>
            <rFont val="Calibri"/>
            <family val="2"/>
            <scheme val="minor"/>
          </rPr>
          <t>Monto calculado automáticamente por el sistema</t>
        </r>
      </text>
    </comment>
    <comment ref="A1069" authorId="2" shapeId="0" xr:uid="{FBD08CE7-0633-47A2-B19F-5376A084512C}">
      <text>
        <r>
          <rPr>
            <sz val="11"/>
            <color theme="1"/>
            <rFont val="Calibri"/>
            <family val="2"/>
            <scheme val="minor"/>
          </rPr>
          <t>Introducir un texto con el nombre o referencia de la contratación</t>
        </r>
      </text>
    </comment>
    <comment ref="B1069" authorId="2" shapeId="0" xr:uid="{F00C0DE3-3D39-40A0-9A58-370350625A9C}">
      <text>
        <r>
          <rPr>
            <sz val="11"/>
            <color theme="1"/>
            <rFont val="Calibri"/>
            <family val="2"/>
            <scheme val="minor"/>
          </rPr>
          <t>Introduzca un texto con la finalidad de la contratación</t>
        </r>
      </text>
    </comment>
    <comment ref="C1069" authorId="2" shapeId="0" xr:uid="{A8032AC9-CFAE-4406-AFD1-D4E40999C49A}">
      <text>
        <r>
          <rPr>
            <sz val="11"/>
            <color theme="1"/>
            <rFont val="Calibri"/>
            <family val="2"/>
            <scheme val="minor"/>
          </rPr>
          <t>Seleccionar un valor del listado</t>
        </r>
      </text>
    </comment>
    <comment ref="D1069" authorId="2" shapeId="0" xr:uid="{BAA8071B-558A-4E42-9E3E-D39D026D308A}">
      <text>
        <r>
          <rPr>
            <sz val="11"/>
            <color theme="1"/>
            <rFont val="Calibri"/>
            <family val="2"/>
            <scheme val="minor"/>
          </rPr>
          <t>Seleccione el tipo de procedimiento</t>
        </r>
      </text>
    </comment>
    <comment ref="E1069" authorId="2" shapeId="0" xr:uid="{63B2A306-3E1E-4124-90B2-246A34B5214D}">
      <text>
        <r>
          <rPr>
            <sz val="11"/>
            <color theme="1"/>
            <rFont val="Calibri"/>
            <family val="2"/>
            <scheme val="minor"/>
          </rPr>
          <t>Seleccione un valor de la lista</t>
        </r>
      </text>
    </comment>
    <comment ref="F1069" authorId="2" shapeId="0" xr:uid="{AACFDE70-E7CA-40F6-A542-109DD4B18E10}">
      <text>
        <r>
          <rPr>
            <sz val="11"/>
            <color theme="1"/>
            <rFont val="Calibri"/>
            <family val="2"/>
            <scheme val="minor"/>
          </rPr>
          <t>Introduzca el código SNIP</t>
        </r>
      </text>
    </comment>
    <comment ref="C1070" authorId="2" shapeId="0" xr:uid="{662050C6-0637-4F91-B35A-EB081AA46DF4}">
      <text>
        <r>
          <rPr>
            <sz val="11"/>
            <color theme="1"/>
            <rFont val="Calibri"/>
            <family val="2"/>
            <scheme val="minor"/>
          </rPr>
          <t>Introduzca la fecha de inicio del proceso, en formato dd-mm-aaaa</t>
        </r>
      </text>
    </comment>
    <comment ref="F1070" authorId="2" shapeId="0" xr:uid="{E2EB580D-C4EF-4C00-95F5-0DC73EC672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xr:uid="{5CB5C46D-6A19-438E-A834-0B40CBFC0E05}">
      <text/>
    </comment>
    <comment ref="C1072" authorId="2" shapeId="0" xr:uid="{D4BB0338-B6B3-4D8B-A42F-23645EA60FF9}">
      <text>
        <r>
          <rPr>
            <sz val="11"/>
            <color theme="1"/>
            <rFont val="Calibri"/>
            <family val="2"/>
            <scheme val="minor"/>
          </rPr>
          <t>Introduzca la fecha prevista de adjudicación, en formato dd-mm-aaaa</t>
        </r>
      </text>
    </comment>
    <comment ref="F1072" authorId="2" shapeId="0" xr:uid="{23771AD1-98D7-4C4A-813D-43B6315599EC}">
      <text/>
    </comment>
    <comment ref="F1073" authorId="2" shapeId="0" xr:uid="{56B140BB-72BE-47FC-8A85-F4AF7525A087}">
      <text/>
    </comment>
    <comment ref="A1075" authorId="2" shapeId="0" xr:uid="{7A10992D-D1E5-42D7-B431-2506FF5FBFEB}">
      <text>
        <r>
          <rPr>
            <sz val="11"/>
            <color theme="1"/>
            <rFont val="Calibri"/>
            <family val="2"/>
            <scheme val="minor"/>
          </rPr>
          <t>Introduzca un codigo UNSPSC</t>
        </r>
      </text>
    </comment>
    <comment ref="B1075" authorId="2" shapeId="0" xr:uid="{0A935BC8-CD4F-4E23-BCEE-CB2514A2AF0F}">
      <text>
        <r>
          <rPr>
            <sz val="11"/>
            <color theme="1"/>
            <rFont val="Calibri"/>
            <family val="2"/>
            <scheme val="minor"/>
          </rPr>
          <t>Descripción calculada automáticamente a partir de código del artículo</t>
        </r>
      </text>
    </comment>
    <comment ref="C1075" authorId="2" shapeId="0" xr:uid="{D837F34D-F806-4628-AF92-CF0CDAE8D05D}">
      <text>
        <r>
          <rPr>
            <sz val="11"/>
            <color theme="1"/>
            <rFont val="Calibri"/>
            <family val="2"/>
            <scheme val="minor"/>
          </rPr>
          <t>Seleccione un valor de la lista</t>
        </r>
      </text>
    </comment>
    <comment ref="D1075" authorId="2" shapeId="0" xr:uid="{4F804B92-01FC-4252-97D4-C54CCD78B794}">
      <text>
        <r>
          <rPr>
            <sz val="11"/>
            <color theme="1"/>
            <rFont val="Calibri"/>
            <family val="2"/>
            <scheme val="minor"/>
          </rPr>
          <t>Introduzca un número con dos decimales como máximo. Debe ser igual o mayor a la "Cantidad Real Consumida"</t>
        </r>
      </text>
    </comment>
    <comment ref="E1075" authorId="2" shapeId="0" xr:uid="{DC46AA9C-65E0-408C-9C96-8C594F9D8C6D}">
      <text>
        <r>
          <rPr>
            <sz val="11"/>
            <color theme="1"/>
            <rFont val="Calibri"/>
            <family val="2"/>
            <scheme val="minor"/>
          </rPr>
          <t>Introduzca un número con dos decimales como máximo</t>
        </r>
      </text>
    </comment>
    <comment ref="F1075" authorId="2" shapeId="0" xr:uid="{87120F9A-9B10-452B-9B9D-57294A1CFD4D}">
      <text>
        <r>
          <rPr>
            <sz val="11"/>
            <color theme="1"/>
            <rFont val="Calibri"/>
            <family val="2"/>
            <scheme val="minor"/>
          </rPr>
          <t>Monto calculado automáticamente por el sistema</t>
        </r>
      </text>
    </comment>
    <comment ref="A1080" authorId="2" shapeId="0" xr:uid="{2B4104EA-BE9D-43E0-84C8-EF4ACF4F104D}">
      <text>
        <r>
          <rPr>
            <sz val="11"/>
            <color theme="1"/>
            <rFont val="Calibri"/>
            <family val="2"/>
            <scheme val="minor"/>
          </rPr>
          <t>Introducir un texto con el nombre o referencia de la contratación</t>
        </r>
      </text>
    </comment>
    <comment ref="B1080" authorId="2" shapeId="0" xr:uid="{65133641-2076-4F9B-B3EF-61EA1CB31B23}">
      <text>
        <r>
          <rPr>
            <sz val="11"/>
            <color theme="1"/>
            <rFont val="Calibri"/>
            <family val="2"/>
            <scheme val="minor"/>
          </rPr>
          <t>Introduzca un texto con la finalidad de la contratación</t>
        </r>
      </text>
    </comment>
    <comment ref="C1080" authorId="2" shapeId="0" xr:uid="{C827EE4D-298F-4693-AAEA-E46F6C235E36}">
      <text>
        <r>
          <rPr>
            <sz val="11"/>
            <color theme="1"/>
            <rFont val="Calibri"/>
            <family val="2"/>
            <scheme val="minor"/>
          </rPr>
          <t>Seleccionar un valor del listado</t>
        </r>
      </text>
    </comment>
    <comment ref="D1080" authorId="2" shapeId="0" xr:uid="{71EED836-A778-4CBE-A66E-6808D39C3381}">
      <text>
        <r>
          <rPr>
            <sz val="11"/>
            <color theme="1"/>
            <rFont val="Calibri"/>
            <family val="2"/>
            <scheme val="minor"/>
          </rPr>
          <t>Seleccione el tipo de procedimiento</t>
        </r>
      </text>
    </comment>
    <comment ref="E1080" authorId="2" shapeId="0" xr:uid="{50CBF3A5-86C0-4067-93CC-0F3EEE00F349}">
      <text>
        <r>
          <rPr>
            <sz val="11"/>
            <color theme="1"/>
            <rFont val="Calibri"/>
            <family val="2"/>
            <scheme val="minor"/>
          </rPr>
          <t>Seleccione un valor de la lista</t>
        </r>
      </text>
    </comment>
    <comment ref="F1080" authorId="2" shapeId="0" xr:uid="{6F675CA0-4425-4F46-9F93-AF91BB4CB5BC}">
      <text>
        <r>
          <rPr>
            <sz val="11"/>
            <color theme="1"/>
            <rFont val="Calibri"/>
            <family val="2"/>
            <scheme val="minor"/>
          </rPr>
          <t>Introduzca el código SNIP</t>
        </r>
      </text>
    </comment>
    <comment ref="C1081" authorId="2" shapeId="0" xr:uid="{BAE6A15E-6BB8-499E-B2C2-B2140873293B}">
      <text>
        <r>
          <rPr>
            <sz val="11"/>
            <color theme="1"/>
            <rFont val="Calibri"/>
            <family val="2"/>
            <scheme val="minor"/>
          </rPr>
          <t>Introduzca la fecha de inicio del proceso, en formato dd-mm-aaaa</t>
        </r>
      </text>
    </comment>
    <comment ref="F1081" authorId="2" shapeId="0" xr:uid="{F62C54D7-23DA-45F3-A0E0-277DE92BD4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2" shapeId="0" xr:uid="{0FE85E23-1529-4DD2-BE58-32C9CB0373AE}">
      <text/>
    </comment>
    <comment ref="C1083" authorId="2" shapeId="0" xr:uid="{76E5B4D1-3009-4AED-95D0-A433AFC951CF}">
      <text>
        <r>
          <rPr>
            <sz val="11"/>
            <color theme="1"/>
            <rFont val="Calibri"/>
            <family val="2"/>
            <scheme val="minor"/>
          </rPr>
          <t>Introduzca la fecha prevista de adjudicación, en formato dd-mm-aaaa</t>
        </r>
      </text>
    </comment>
    <comment ref="F1083" authorId="2" shapeId="0" xr:uid="{0BAB47A8-9C58-471A-91DB-ADE4889A663B}">
      <text/>
    </comment>
    <comment ref="F1084" authorId="2" shapeId="0" xr:uid="{F6B372FB-F9BB-408E-9DBE-1CD9D7E3B5B5}">
      <text/>
    </comment>
    <comment ref="A1086" authorId="2" shapeId="0" xr:uid="{54AD3593-FC97-4306-BD80-C942E9E20AB3}">
      <text>
        <r>
          <rPr>
            <sz val="11"/>
            <color theme="1"/>
            <rFont val="Calibri"/>
            <family val="2"/>
            <scheme val="minor"/>
          </rPr>
          <t>Introduzca un codigo UNSPSC</t>
        </r>
      </text>
    </comment>
    <comment ref="B1086" authorId="2" shapeId="0" xr:uid="{85EE6C2F-29FF-42D3-985F-D8D520A08ABE}">
      <text>
        <r>
          <rPr>
            <sz val="11"/>
            <color theme="1"/>
            <rFont val="Calibri"/>
            <family val="2"/>
            <scheme val="minor"/>
          </rPr>
          <t>Descripción calculada automáticamente a partir de código del artículo</t>
        </r>
      </text>
    </comment>
    <comment ref="C1086" authorId="2" shapeId="0" xr:uid="{9DCA9DD3-7C74-4057-B491-2E48163C5CBB}">
      <text>
        <r>
          <rPr>
            <sz val="11"/>
            <color theme="1"/>
            <rFont val="Calibri"/>
            <family val="2"/>
            <scheme val="minor"/>
          </rPr>
          <t>Seleccione un valor de la lista</t>
        </r>
      </text>
    </comment>
    <comment ref="D1086" authorId="2" shapeId="0" xr:uid="{1BA5E738-750F-4AE7-A511-0468541AD7B6}">
      <text>
        <r>
          <rPr>
            <sz val="11"/>
            <color theme="1"/>
            <rFont val="Calibri"/>
            <family val="2"/>
            <scheme val="minor"/>
          </rPr>
          <t>Introduzca un número con dos decimales como máximo. Debe ser igual o mayor a la "Cantidad Real Consumida"</t>
        </r>
      </text>
    </comment>
    <comment ref="E1086" authorId="2" shapeId="0" xr:uid="{FF192E99-3DB4-40DF-AD13-7A45F3079CF6}">
      <text>
        <r>
          <rPr>
            <sz val="11"/>
            <color theme="1"/>
            <rFont val="Calibri"/>
            <family val="2"/>
            <scheme val="minor"/>
          </rPr>
          <t>Introduzca un número con dos decimales como máximo</t>
        </r>
      </text>
    </comment>
    <comment ref="F1086" authorId="2" shapeId="0" xr:uid="{FF19D3CE-94E3-4876-BB04-E731AE882A61}">
      <text>
        <r>
          <rPr>
            <sz val="11"/>
            <color theme="1"/>
            <rFont val="Calibri"/>
            <family val="2"/>
            <scheme val="minor"/>
          </rPr>
          <t>Monto calculado automáticamente por el sistema</t>
        </r>
      </text>
    </comment>
    <comment ref="A1091" authorId="2" shapeId="0" xr:uid="{323C935A-6F4E-4D89-9E49-A3C8D30B12A7}">
      <text>
        <r>
          <rPr>
            <sz val="11"/>
            <color theme="1"/>
            <rFont val="Calibri"/>
            <family val="2"/>
            <scheme val="minor"/>
          </rPr>
          <t>Introducir un texto con el nombre o referencia de la contratación</t>
        </r>
      </text>
    </comment>
    <comment ref="B1091" authorId="2" shapeId="0" xr:uid="{E5A834D8-1DBC-416F-9939-C2D5FC1443A1}">
      <text>
        <r>
          <rPr>
            <sz val="11"/>
            <color theme="1"/>
            <rFont val="Calibri"/>
            <family val="2"/>
            <scheme val="minor"/>
          </rPr>
          <t>Introduzca un texto con la finalidad de la contratación</t>
        </r>
      </text>
    </comment>
    <comment ref="C1091" authorId="2" shapeId="0" xr:uid="{CFBA692C-C540-452B-83DC-4B963F8F3AAF}">
      <text>
        <r>
          <rPr>
            <sz val="11"/>
            <color theme="1"/>
            <rFont val="Calibri"/>
            <family val="2"/>
            <scheme val="minor"/>
          </rPr>
          <t>Seleccionar un valor del listado</t>
        </r>
      </text>
    </comment>
    <comment ref="D1091" authorId="2" shapeId="0" xr:uid="{30AF7C4B-4172-4AD9-B4D0-A3F9C85241D1}">
      <text>
        <r>
          <rPr>
            <sz val="11"/>
            <color theme="1"/>
            <rFont val="Calibri"/>
            <family val="2"/>
            <scheme val="minor"/>
          </rPr>
          <t>Seleccione el tipo de procedimiento</t>
        </r>
      </text>
    </comment>
    <comment ref="E1091" authorId="2" shapeId="0" xr:uid="{49EFE3B6-1B6A-44FE-973D-4FBBF9E8358D}">
      <text>
        <r>
          <rPr>
            <sz val="11"/>
            <color theme="1"/>
            <rFont val="Calibri"/>
            <family val="2"/>
            <scheme val="minor"/>
          </rPr>
          <t>Seleccione un valor de la lista</t>
        </r>
      </text>
    </comment>
    <comment ref="F1091" authorId="2" shapeId="0" xr:uid="{12E1AD3B-0EDF-4D6F-8BDF-9C71557F716F}">
      <text>
        <r>
          <rPr>
            <sz val="11"/>
            <color theme="1"/>
            <rFont val="Calibri"/>
            <family val="2"/>
            <scheme val="minor"/>
          </rPr>
          <t>Introduzca el código SNIP</t>
        </r>
      </text>
    </comment>
    <comment ref="C1092" authorId="2" shapeId="0" xr:uid="{AFA112FE-5274-446E-A8A5-7EA074F4D6C6}">
      <text>
        <r>
          <rPr>
            <sz val="11"/>
            <color theme="1"/>
            <rFont val="Calibri"/>
            <family val="2"/>
            <scheme val="minor"/>
          </rPr>
          <t>Introduzca la fecha de inicio del proceso, en formato dd-mm-aaaa</t>
        </r>
      </text>
    </comment>
    <comment ref="F1092" authorId="2" shapeId="0" xr:uid="{D6A3A0F5-7E60-4A9E-ADEC-91EF9AB75E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2" shapeId="0" xr:uid="{3FF67D1D-8005-4D44-8CCB-13C40356C1D6}">
      <text/>
    </comment>
    <comment ref="C1094" authorId="2" shapeId="0" xr:uid="{EE0746CC-6803-430B-B23D-CE25EFF94FBB}">
      <text>
        <r>
          <rPr>
            <sz val="11"/>
            <color theme="1"/>
            <rFont val="Calibri"/>
            <family val="2"/>
            <scheme val="minor"/>
          </rPr>
          <t>Introduzca la fecha prevista de adjudicación, en formato dd-mm-aaaa</t>
        </r>
      </text>
    </comment>
    <comment ref="F1094" authorId="2" shapeId="0" xr:uid="{6831A16E-8212-47D9-9C03-4029BFCA2BEB}">
      <text/>
    </comment>
    <comment ref="F1095" authorId="2" shapeId="0" xr:uid="{F8FA4BD8-43B6-41A8-B849-812F9B779C5F}">
      <text/>
    </comment>
    <comment ref="A1097" authorId="2" shapeId="0" xr:uid="{005A4391-68A3-411D-A065-AC172E78B0A5}">
      <text>
        <r>
          <rPr>
            <sz val="11"/>
            <color theme="1"/>
            <rFont val="Calibri"/>
            <family val="2"/>
            <scheme val="minor"/>
          </rPr>
          <t>Introduzca un codigo UNSPSC</t>
        </r>
      </text>
    </comment>
    <comment ref="B1097" authorId="2" shapeId="0" xr:uid="{3498304B-2123-475B-9452-452BBD3AA59E}">
      <text>
        <r>
          <rPr>
            <sz val="11"/>
            <color theme="1"/>
            <rFont val="Calibri"/>
            <family val="2"/>
            <scheme val="minor"/>
          </rPr>
          <t>Descripción calculada automáticamente a partir de código del artículo</t>
        </r>
      </text>
    </comment>
    <comment ref="C1097" authorId="2" shapeId="0" xr:uid="{7FAC5702-63EC-415D-B2BE-6A547AF36E55}">
      <text>
        <r>
          <rPr>
            <sz val="11"/>
            <color theme="1"/>
            <rFont val="Calibri"/>
            <family val="2"/>
            <scheme val="minor"/>
          </rPr>
          <t>Seleccione un valor de la lista</t>
        </r>
      </text>
    </comment>
    <comment ref="D1097" authorId="2" shapeId="0" xr:uid="{438B741A-20F0-49D4-A194-FD4EE41941B6}">
      <text>
        <r>
          <rPr>
            <sz val="11"/>
            <color theme="1"/>
            <rFont val="Calibri"/>
            <family val="2"/>
            <scheme val="minor"/>
          </rPr>
          <t>Introduzca un número con dos decimales como máximo. Debe ser igual o mayor a la "Cantidad Real Consumida"</t>
        </r>
      </text>
    </comment>
    <comment ref="E1097" authorId="2" shapeId="0" xr:uid="{CFE439B1-9631-4B7D-878E-D0BE0BA83A93}">
      <text>
        <r>
          <rPr>
            <sz val="11"/>
            <color theme="1"/>
            <rFont val="Calibri"/>
            <family val="2"/>
            <scheme val="minor"/>
          </rPr>
          <t>Introduzca un número con dos decimales como máximo</t>
        </r>
      </text>
    </comment>
    <comment ref="F1097" authorId="2" shapeId="0" xr:uid="{0CE5758D-8398-4034-A942-425387AF56DD}">
      <text>
        <r>
          <rPr>
            <sz val="11"/>
            <color theme="1"/>
            <rFont val="Calibri"/>
            <family val="2"/>
            <scheme val="minor"/>
          </rPr>
          <t>Monto calculado automáticamente por el sistema</t>
        </r>
      </text>
    </comment>
    <comment ref="A1102" authorId="2" shapeId="0" xr:uid="{C6AFF078-E18C-4D5C-B7B8-74F6BE6B7C41}">
      <text>
        <r>
          <rPr>
            <sz val="11"/>
            <color theme="1"/>
            <rFont val="Calibri"/>
            <family val="2"/>
            <scheme val="minor"/>
          </rPr>
          <t>Introducir un texto con el nombre o referencia de la contratación</t>
        </r>
      </text>
    </comment>
    <comment ref="B1102" authorId="2" shapeId="0" xr:uid="{C1FC86A5-225D-4993-9D79-1A6C474A4B90}">
      <text>
        <r>
          <rPr>
            <sz val="11"/>
            <color theme="1"/>
            <rFont val="Calibri"/>
            <family val="2"/>
            <scheme val="minor"/>
          </rPr>
          <t>Introduzca un texto con la finalidad de la contratación</t>
        </r>
      </text>
    </comment>
    <comment ref="C1102" authorId="2" shapeId="0" xr:uid="{BC7E0D1B-38E7-41B5-BC54-2D603A7CFD05}">
      <text>
        <r>
          <rPr>
            <sz val="11"/>
            <color theme="1"/>
            <rFont val="Calibri"/>
            <family val="2"/>
            <scheme val="minor"/>
          </rPr>
          <t>Seleccionar un valor del listado</t>
        </r>
      </text>
    </comment>
    <comment ref="D1102" authorId="2" shapeId="0" xr:uid="{C6048E81-1CD1-43F9-AF08-2753127614A5}">
      <text>
        <r>
          <rPr>
            <sz val="11"/>
            <color theme="1"/>
            <rFont val="Calibri"/>
            <family val="2"/>
            <scheme val="minor"/>
          </rPr>
          <t>Seleccione el tipo de procedimiento</t>
        </r>
      </text>
    </comment>
    <comment ref="E1102" authorId="2" shapeId="0" xr:uid="{511C1D02-ABC5-4DA1-9DA4-F94856230FE7}">
      <text>
        <r>
          <rPr>
            <sz val="11"/>
            <color theme="1"/>
            <rFont val="Calibri"/>
            <family val="2"/>
            <scheme val="minor"/>
          </rPr>
          <t>Seleccione un valor de la lista</t>
        </r>
      </text>
    </comment>
    <comment ref="F1102" authorId="2" shapeId="0" xr:uid="{79A50B95-9E6B-4725-9A2A-175DD9BFEF5C}">
      <text>
        <r>
          <rPr>
            <sz val="11"/>
            <color theme="1"/>
            <rFont val="Calibri"/>
            <family val="2"/>
            <scheme val="minor"/>
          </rPr>
          <t>Introduzca el código SNIP</t>
        </r>
      </text>
    </comment>
    <comment ref="C1103" authorId="2" shapeId="0" xr:uid="{7CD7B9AD-8862-4957-A6EC-252BEE630EDB}">
      <text>
        <r>
          <rPr>
            <sz val="11"/>
            <color theme="1"/>
            <rFont val="Calibri"/>
            <family val="2"/>
            <scheme val="minor"/>
          </rPr>
          <t>Introduzca la fecha de inicio del proceso, en formato dd-mm-aaaa</t>
        </r>
      </text>
    </comment>
    <comment ref="F1103" authorId="2" shapeId="0" xr:uid="{6CC2D053-8447-4690-8690-16A0494668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2" shapeId="0" xr:uid="{005036FB-B4A9-4D45-8495-40544764CE83}">
      <text/>
    </comment>
    <comment ref="C1105" authorId="2" shapeId="0" xr:uid="{E837743B-CB13-425B-88BB-97E2B9876FF3}">
      <text>
        <r>
          <rPr>
            <sz val="11"/>
            <color theme="1"/>
            <rFont val="Calibri"/>
            <family val="2"/>
            <scheme val="minor"/>
          </rPr>
          <t>Introduzca la fecha prevista de adjudicación, en formato dd-mm-aaaa</t>
        </r>
      </text>
    </comment>
    <comment ref="F1105" authorId="2" shapeId="0" xr:uid="{DA6F4BF6-53D7-4B92-80FB-DC4414A6B7DC}">
      <text/>
    </comment>
    <comment ref="F1106" authorId="2" shapeId="0" xr:uid="{9892E323-9501-465B-85E8-6D86FBEFE95A}">
      <text/>
    </comment>
    <comment ref="A1108" authorId="2" shapeId="0" xr:uid="{1DD1FEE1-F760-4840-9C8D-7842147EC885}">
      <text>
        <r>
          <rPr>
            <sz val="11"/>
            <color theme="1"/>
            <rFont val="Calibri"/>
            <family val="2"/>
            <scheme val="minor"/>
          </rPr>
          <t>Introduzca un codigo UNSPSC</t>
        </r>
      </text>
    </comment>
    <comment ref="B1108" authorId="2" shapeId="0" xr:uid="{37BF8DC1-498A-4C78-A42A-5938315A4943}">
      <text>
        <r>
          <rPr>
            <sz val="11"/>
            <color theme="1"/>
            <rFont val="Calibri"/>
            <family val="2"/>
            <scheme val="minor"/>
          </rPr>
          <t>Descripción calculada automáticamente a partir de código del artículo</t>
        </r>
      </text>
    </comment>
    <comment ref="C1108" authorId="2" shapeId="0" xr:uid="{468291DC-1512-4AB0-AB77-7B7EF242DD56}">
      <text>
        <r>
          <rPr>
            <sz val="11"/>
            <color theme="1"/>
            <rFont val="Calibri"/>
            <family val="2"/>
            <scheme val="minor"/>
          </rPr>
          <t>Seleccione un valor de la lista</t>
        </r>
      </text>
    </comment>
    <comment ref="D1108" authorId="2" shapeId="0" xr:uid="{ED113EF9-2179-4F7A-8848-61B4A5C99627}">
      <text>
        <r>
          <rPr>
            <sz val="11"/>
            <color theme="1"/>
            <rFont val="Calibri"/>
            <family val="2"/>
            <scheme val="minor"/>
          </rPr>
          <t>Introduzca un número con dos decimales como máximo. Debe ser igual o mayor a la "Cantidad Real Consumida"</t>
        </r>
      </text>
    </comment>
    <comment ref="E1108" authorId="2" shapeId="0" xr:uid="{9AB22425-2626-49F4-9AAC-7E816704E506}">
      <text>
        <r>
          <rPr>
            <sz val="11"/>
            <color theme="1"/>
            <rFont val="Calibri"/>
            <family val="2"/>
            <scheme val="minor"/>
          </rPr>
          <t>Introduzca un número con dos decimales como máximo</t>
        </r>
      </text>
    </comment>
    <comment ref="F1108" authorId="2" shapeId="0" xr:uid="{74C48470-11B4-4EDD-8454-9EDBCD2006F3}">
      <text>
        <r>
          <rPr>
            <sz val="11"/>
            <color theme="1"/>
            <rFont val="Calibri"/>
            <family val="2"/>
            <scheme val="minor"/>
          </rPr>
          <t>Monto calculado automáticamente por el sistema</t>
        </r>
      </text>
    </comment>
    <comment ref="A1113" authorId="2" shapeId="0" xr:uid="{DCA45CC5-6090-48BF-91B3-CFD4DAEC9140}">
      <text>
        <r>
          <rPr>
            <sz val="11"/>
            <color theme="1"/>
            <rFont val="Calibri"/>
            <family val="2"/>
            <scheme val="minor"/>
          </rPr>
          <t>Introducir un texto con el nombre o referencia de la contratación</t>
        </r>
      </text>
    </comment>
    <comment ref="B1113" authorId="2" shapeId="0" xr:uid="{8CA5975D-E590-4C1E-B105-907002272B71}">
      <text>
        <r>
          <rPr>
            <sz val="11"/>
            <color theme="1"/>
            <rFont val="Calibri"/>
            <family val="2"/>
            <scheme val="minor"/>
          </rPr>
          <t>Introduzca un texto con la finalidad de la contratación</t>
        </r>
      </text>
    </comment>
    <comment ref="C1113" authorId="2" shapeId="0" xr:uid="{6D02C2BC-F815-4035-A39B-71B9B7F732B5}">
      <text>
        <r>
          <rPr>
            <sz val="11"/>
            <color theme="1"/>
            <rFont val="Calibri"/>
            <family val="2"/>
            <scheme val="minor"/>
          </rPr>
          <t>Seleccionar un valor del listado</t>
        </r>
      </text>
    </comment>
    <comment ref="D1113" authorId="2" shapeId="0" xr:uid="{D65F0471-4E42-4ED5-BD88-A3B33E62163E}">
      <text>
        <r>
          <rPr>
            <sz val="11"/>
            <color theme="1"/>
            <rFont val="Calibri"/>
            <family val="2"/>
            <scheme val="minor"/>
          </rPr>
          <t>Seleccione el tipo de procedimiento</t>
        </r>
      </text>
    </comment>
    <comment ref="E1113" authorId="2" shapeId="0" xr:uid="{15D4E679-B831-4034-A922-670F50460277}">
      <text>
        <r>
          <rPr>
            <sz val="11"/>
            <color theme="1"/>
            <rFont val="Calibri"/>
            <family val="2"/>
            <scheme val="minor"/>
          </rPr>
          <t>Seleccione un valor de la lista</t>
        </r>
      </text>
    </comment>
    <comment ref="F1113" authorId="2" shapeId="0" xr:uid="{E4447983-C78E-4597-8872-3065B17688FC}">
      <text>
        <r>
          <rPr>
            <sz val="11"/>
            <color theme="1"/>
            <rFont val="Calibri"/>
            <family val="2"/>
            <scheme val="minor"/>
          </rPr>
          <t>Introduzca el código SNIP</t>
        </r>
      </text>
    </comment>
    <comment ref="C1114" authorId="2" shapeId="0" xr:uid="{18A02C42-8937-4804-9EDE-1A7A48DCA0BD}">
      <text>
        <r>
          <rPr>
            <sz val="11"/>
            <color theme="1"/>
            <rFont val="Calibri"/>
            <family val="2"/>
            <scheme val="minor"/>
          </rPr>
          <t>Introduzca la fecha de inicio del proceso, en formato dd-mm-aaaa</t>
        </r>
      </text>
    </comment>
    <comment ref="F1114" authorId="2" shapeId="0" xr:uid="{BA9343A4-A02F-4339-B4D6-513597485A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2" shapeId="0" xr:uid="{560084CE-4514-4700-8D5F-859DC44C8100}">
      <text/>
    </comment>
    <comment ref="C1116" authorId="2" shapeId="0" xr:uid="{CEF3347C-A454-4135-B72F-3FA99D3A5365}">
      <text>
        <r>
          <rPr>
            <sz val="11"/>
            <color theme="1"/>
            <rFont val="Calibri"/>
            <family val="2"/>
            <scheme val="minor"/>
          </rPr>
          <t>Introduzca la fecha prevista de adjudicación, en formato dd-mm-aaaa</t>
        </r>
      </text>
    </comment>
    <comment ref="F1116" authorId="2" shapeId="0" xr:uid="{16681941-8B35-4B9A-A067-15CC378E12CC}">
      <text/>
    </comment>
    <comment ref="F1117" authorId="2" shapeId="0" xr:uid="{3643B614-9A4E-4509-A1A3-A2DD60A170FA}">
      <text/>
    </comment>
    <comment ref="A1119" authorId="2" shapeId="0" xr:uid="{66592A94-45DF-4781-A0DE-F64F6077EF81}">
      <text>
        <r>
          <rPr>
            <sz val="11"/>
            <color theme="1"/>
            <rFont val="Calibri"/>
            <family val="2"/>
            <scheme val="minor"/>
          </rPr>
          <t>Introduzca un codigo UNSPSC</t>
        </r>
      </text>
    </comment>
    <comment ref="B1119" authorId="2" shapeId="0" xr:uid="{AC8EF5B4-564C-4F65-BC47-8F218C94A126}">
      <text>
        <r>
          <rPr>
            <sz val="11"/>
            <color theme="1"/>
            <rFont val="Calibri"/>
            <family val="2"/>
            <scheme val="minor"/>
          </rPr>
          <t>Descripción calculada automáticamente a partir de código del artículo</t>
        </r>
      </text>
    </comment>
    <comment ref="C1119" authorId="2" shapeId="0" xr:uid="{68A25DBD-FBDE-4BDF-BF26-4DA0D0D3AA11}">
      <text>
        <r>
          <rPr>
            <sz val="11"/>
            <color theme="1"/>
            <rFont val="Calibri"/>
            <family val="2"/>
            <scheme val="minor"/>
          </rPr>
          <t>Seleccione un valor de la lista</t>
        </r>
      </text>
    </comment>
    <comment ref="D1119" authorId="2" shapeId="0" xr:uid="{5397D1D1-1B22-4709-9AB2-313585BF2549}">
      <text>
        <r>
          <rPr>
            <sz val="11"/>
            <color theme="1"/>
            <rFont val="Calibri"/>
            <family val="2"/>
            <scheme val="minor"/>
          </rPr>
          <t>Introduzca un número con dos decimales como máximo. Debe ser igual o mayor a la "Cantidad Real Consumida"</t>
        </r>
      </text>
    </comment>
    <comment ref="E1119" authorId="2" shapeId="0" xr:uid="{2071FAD3-B8BB-44F9-9A3A-3F7B814D9A7E}">
      <text>
        <r>
          <rPr>
            <sz val="11"/>
            <color theme="1"/>
            <rFont val="Calibri"/>
            <family val="2"/>
            <scheme val="minor"/>
          </rPr>
          <t>Introduzca un número con dos decimales como máximo</t>
        </r>
      </text>
    </comment>
    <comment ref="F1119" authorId="2" shapeId="0" xr:uid="{2B03EEA7-63AD-4FA6-A5A4-BB76BB4F762F}">
      <text>
        <r>
          <rPr>
            <sz val="11"/>
            <color theme="1"/>
            <rFont val="Calibri"/>
            <family val="2"/>
            <scheme val="minor"/>
          </rPr>
          <t>Monto calculado automáticamente por el sistema</t>
        </r>
      </text>
    </comment>
    <comment ref="A1124" authorId="2" shapeId="0" xr:uid="{9930C13B-8D00-422E-BFDC-85912EA6B887}">
      <text>
        <r>
          <rPr>
            <sz val="11"/>
            <color theme="1"/>
            <rFont val="Calibri"/>
            <family val="2"/>
            <scheme val="minor"/>
          </rPr>
          <t>Introducir un texto con el nombre o referencia de la contratación</t>
        </r>
      </text>
    </comment>
    <comment ref="B1124" authorId="2" shapeId="0" xr:uid="{80731370-9888-4937-B04C-D198D9D45DE4}">
      <text>
        <r>
          <rPr>
            <sz val="11"/>
            <color theme="1"/>
            <rFont val="Calibri"/>
            <family val="2"/>
            <scheme val="minor"/>
          </rPr>
          <t>Introduzca un texto con la finalidad de la contratación</t>
        </r>
      </text>
    </comment>
    <comment ref="C1124" authorId="2" shapeId="0" xr:uid="{DA76446E-409E-4B99-8A3D-28474BD26A79}">
      <text>
        <r>
          <rPr>
            <sz val="11"/>
            <color theme="1"/>
            <rFont val="Calibri"/>
            <family val="2"/>
            <scheme val="minor"/>
          </rPr>
          <t>Seleccionar un valor del listado</t>
        </r>
      </text>
    </comment>
    <comment ref="D1124" authorId="2" shapeId="0" xr:uid="{3A6297DA-682D-433E-BB06-AE192E7ED4B5}">
      <text>
        <r>
          <rPr>
            <sz val="11"/>
            <color theme="1"/>
            <rFont val="Calibri"/>
            <family val="2"/>
            <scheme val="minor"/>
          </rPr>
          <t>Seleccione el tipo de procedimiento</t>
        </r>
      </text>
    </comment>
    <comment ref="E1124" authorId="2" shapeId="0" xr:uid="{905C26E0-3F1C-4A24-B182-C210BA4E3865}">
      <text>
        <r>
          <rPr>
            <sz val="11"/>
            <color theme="1"/>
            <rFont val="Calibri"/>
            <family val="2"/>
            <scheme val="minor"/>
          </rPr>
          <t>Seleccione un valor de la lista</t>
        </r>
      </text>
    </comment>
    <comment ref="F1124" authorId="2" shapeId="0" xr:uid="{FCE0D127-4686-46C3-B25F-8CF5554D1C71}">
      <text>
        <r>
          <rPr>
            <sz val="11"/>
            <color theme="1"/>
            <rFont val="Calibri"/>
            <family val="2"/>
            <scheme val="minor"/>
          </rPr>
          <t>Introduzca el código SNIP</t>
        </r>
      </text>
    </comment>
    <comment ref="C1125" authorId="2" shapeId="0" xr:uid="{8B8B764F-42E6-49D3-AECD-5FADF22B4341}">
      <text>
        <r>
          <rPr>
            <sz val="11"/>
            <color theme="1"/>
            <rFont val="Calibri"/>
            <family val="2"/>
            <scheme val="minor"/>
          </rPr>
          <t>Introduzca la fecha de inicio del proceso, en formato dd-mm-aaaa</t>
        </r>
      </text>
    </comment>
    <comment ref="F1125" authorId="2" shapeId="0" xr:uid="{ABFA0C2A-5CF3-4456-AB5F-6D19D92924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BE4FDF0B-DA01-482C-9987-A046700ABD32}">
      <text/>
    </comment>
    <comment ref="C1127" authorId="2" shapeId="0" xr:uid="{4D22D6D0-ED4E-4EB3-B533-15293E068D7F}">
      <text>
        <r>
          <rPr>
            <sz val="11"/>
            <color theme="1"/>
            <rFont val="Calibri"/>
            <family val="2"/>
            <scheme val="minor"/>
          </rPr>
          <t>Introduzca la fecha prevista de adjudicación, en formato dd-mm-aaaa</t>
        </r>
      </text>
    </comment>
    <comment ref="F1127" authorId="2" shapeId="0" xr:uid="{DCE27953-B09C-4B9A-A6A5-F77A18E74B68}">
      <text/>
    </comment>
    <comment ref="F1128" authorId="2" shapeId="0" xr:uid="{232B7E74-A6DC-4116-8E6C-6CEB731A1A0D}">
      <text/>
    </comment>
    <comment ref="A1130" authorId="2" shapeId="0" xr:uid="{2C46D6B0-FA18-400C-87F3-F1587638C0FB}">
      <text>
        <r>
          <rPr>
            <sz val="11"/>
            <color theme="1"/>
            <rFont val="Calibri"/>
            <family val="2"/>
            <scheme val="minor"/>
          </rPr>
          <t>Introduzca un codigo UNSPSC</t>
        </r>
      </text>
    </comment>
    <comment ref="B1130" authorId="2" shapeId="0" xr:uid="{76FBA2E9-ABCC-42E1-8FE1-FBE28C687897}">
      <text>
        <r>
          <rPr>
            <sz val="11"/>
            <color theme="1"/>
            <rFont val="Calibri"/>
            <family val="2"/>
            <scheme val="minor"/>
          </rPr>
          <t>Descripción calculada automáticamente a partir de código del artículo</t>
        </r>
      </text>
    </comment>
    <comment ref="C1130" authorId="2" shapeId="0" xr:uid="{F7C83C32-38A9-4822-BEAE-9BFC85930CCE}">
      <text>
        <r>
          <rPr>
            <sz val="11"/>
            <color theme="1"/>
            <rFont val="Calibri"/>
            <family val="2"/>
            <scheme val="minor"/>
          </rPr>
          <t>Seleccione un valor de la lista</t>
        </r>
      </text>
    </comment>
    <comment ref="D1130" authorId="2" shapeId="0" xr:uid="{DB9A1DC8-57CF-4E4D-A69C-DFECD63691F5}">
      <text>
        <r>
          <rPr>
            <sz val="11"/>
            <color theme="1"/>
            <rFont val="Calibri"/>
            <family val="2"/>
            <scheme val="minor"/>
          </rPr>
          <t>Introduzca un número con dos decimales como máximo. Debe ser igual o mayor a la "Cantidad Real Consumida"</t>
        </r>
      </text>
    </comment>
    <comment ref="E1130" authorId="2" shapeId="0" xr:uid="{DC90EBE9-C761-4663-90BA-9B06B9BBE2DF}">
      <text>
        <r>
          <rPr>
            <sz val="11"/>
            <color theme="1"/>
            <rFont val="Calibri"/>
            <family val="2"/>
            <scheme val="minor"/>
          </rPr>
          <t>Introduzca un número con dos decimales como máximo</t>
        </r>
      </text>
    </comment>
    <comment ref="F1130" authorId="2" shapeId="0" xr:uid="{0FF6C8FF-0DA3-49E2-842E-209D49AA5BF1}">
      <text>
        <r>
          <rPr>
            <sz val="11"/>
            <color theme="1"/>
            <rFont val="Calibri"/>
            <family val="2"/>
            <scheme val="minor"/>
          </rPr>
          <t>Monto calculado automáticamente por el sistema</t>
        </r>
      </text>
    </comment>
    <comment ref="A1135" authorId="2" shapeId="0" xr:uid="{B0AC1816-A895-476D-95DF-9B5A655EB725}">
      <text>
        <r>
          <rPr>
            <sz val="11"/>
            <color theme="1"/>
            <rFont val="Calibri"/>
            <family val="2"/>
            <scheme val="minor"/>
          </rPr>
          <t>Introducir un texto con el nombre o referencia de la contratación</t>
        </r>
      </text>
    </comment>
    <comment ref="B1135" authorId="2" shapeId="0" xr:uid="{A6005798-6E15-4218-AA93-38DA8135D252}">
      <text>
        <r>
          <rPr>
            <sz val="11"/>
            <color theme="1"/>
            <rFont val="Calibri"/>
            <family val="2"/>
            <scheme val="minor"/>
          </rPr>
          <t>Introduzca un texto con la finalidad de la contratación</t>
        </r>
      </text>
    </comment>
    <comment ref="C1135" authorId="2" shapeId="0" xr:uid="{2DFBD40D-F805-4BDC-BFD9-07EDBF975E2E}">
      <text>
        <r>
          <rPr>
            <sz val="11"/>
            <color theme="1"/>
            <rFont val="Calibri"/>
            <family val="2"/>
            <scheme val="minor"/>
          </rPr>
          <t>Seleccionar un valor del listado</t>
        </r>
      </text>
    </comment>
    <comment ref="D1135" authorId="2" shapeId="0" xr:uid="{8835D70B-E015-4E02-AE3B-61700E571F9C}">
      <text>
        <r>
          <rPr>
            <sz val="11"/>
            <color theme="1"/>
            <rFont val="Calibri"/>
            <family val="2"/>
            <scheme val="minor"/>
          </rPr>
          <t>Seleccione el tipo de procedimiento</t>
        </r>
      </text>
    </comment>
    <comment ref="E1135" authorId="2" shapeId="0" xr:uid="{44FAD94C-60AD-47B2-A52B-1F51A5F7B168}">
      <text>
        <r>
          <rPr>
            <sz val="11"/>
            <color theme="1"/>
            <rFont val="Calibri"/>
            <family val="2"/>
            <scheme val="minor"/>
          </rPr>
          <t>Seleccione un valor de la lista</t>
        </r>
      </text>
    </comment>
    <comment ref="F1135" authorId="2" shapeId="0" xr:uid="{02D0B233-8509-416B-9D0D-7B00BC26CCEC}">
      <text>
        <r>
          <rPr>
            <sz val="11"/>
            <color theme="1"/>
            <rFont val="Calibri"/>
            <family val="2"/>
            <scheme val="minor"/>
          </rPr>
          <t>Introduzca el código SNIP</t>
        </r>
      </text>
    </comment>
    <comment ref="C1136" authorId="2" shapeId="0" xr:uid="{CC94D1D1-3681-427A-8FC5-F7A1D80B492F}">
      <text>
        <r>
          <rPr>
            <sz val="11"/>
            <color theme="1"/>
            <rFont val="Calibri"/>
            <family val="2"/>
            <scheme val="minor"/>
          </rPr>
          <t>Introduzca la fecha de inicio del proceso, en formato dd-mm-aaaa</t>
        </r>
      </text>
    </comment>
    <comment ref="F1136" authorId="2" shapeId="0" xr:uid="{E6FDE6E9-C9DC-451E-8794-82B526DEAE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2" shapeId="0" xr:uid="{6A60852D-84A1-4531-AD42-7255E3BC4287}">
      <text/>
    </comment>
    <comment ref="C1138" authorId="2" shapeId="0" xr:uid="{63BAB84E-8C4F-48E9-B1FB-5FF10882A17A}">
      <text>
        <r>
          <rPr>
            <sz val="11"/>
            <color theme="1"/>
            <rFont val="Calibri"/>
            <family val="2"/>
            <scheme val="minor"/>
          </rPr>
          <t>Introduzca la fecha prevista de adjudicación, en formato dd-mm-aaaa</t>
        </r>
      </text>
    </comment>
    <comment ref="F1138" authorId="2" shapeId="0" xr:uid="{D8259174-C70E-40FD-ACD7-B5052E75F190}">
      <text/>
    </comment>
    <comment ref="F1139" authorId="2" shapeId="0" xr:uid="{5BBB3584-36C3-4015-A411-D61182508E97}">
      <text/>
    </comment>
    <comment ref="A1141" authorId="2" shapeId="0" xr:uid="{C2C5DCD3-E7B5-41DD-8B72-C4896DBBCC7C}">
      <text>
        <r>
          <rPr>
            <sz val="11"/>
            <color theme="1"/>
            <rFont val="Calibri"/>
            <family val="2"/>
            <scheme val="minor"/>
          </rPr>
          <t>Introduzca un codigo UNSPSC</t>
        </r>
      </text>
    </comment>
    <comment ref="B1141" authorId="2" shapeId="0" xr:uid="{48485441-EC79-48EB-A6A6-6A24D3677E20}">
      <text>
        <r>
          <rPr>
            <sz val="11"/>
            <color theme="1"/>
            <rFont val="Calibri"/>
            <family val="2"/>
            <scheme val="minor"/>
          </rPr>
          <t>Descripción calculada automáticamente a partir de código del artículo</t>
        </r>
      </text>
    </comment>
    <comment ref="C1141" authorId="2" shapeId="0" xr:uid="{65759539-C809-4264-84C2-63FE5EBBA4CA}">
      <text>
        <r>
          <rPr>
            <sz val="11"/>
            <color theme="1"/>
            <rFont val="Calibri"/>
            <family val="2"/>
            <scheme val="minor"/>
          </rPr>
          <t>Seleccione un valor de la lista</t>
        </r>
      </text>
    </comment>
    <comment ref="D1141" authorId="2" shapeId="0" xr:uid="{84E2290C-F51D-4E72-8C4D-EF1CC37AC606}">
      <text>
        <r>
          <rPr>
            <sz val="11"/>
            <color theme="1"/>
            <rFont val="Calibri"/>
            <family val="2"/>
            <scheme val="minor"/>
          </rPr>
          <t>Introduzca un número con dos decimales como máximo. Debe ser igual o mayor a la "Cantidad Real Consumida"</t>
        </r>
      </text>
    </comment>
    <comment ref="E1141" authorId="2" shapeId="0" xr:uid="{2F93FFA7-C115-41BD-BBEA-D6C45855429C}">
      <text>
        <r>
          <rPr>
            <sz val="11"/>
            <color theme="1"/>
            <rFont val="Calibri"/>
            <family val="2"/>
            <scheme val="minor"/>
          </rPr>
          <t>Introduzca un número con dos decimales como máximo</t>
        </r>
      </text>
    </comment>
    <comment ref="F1141" authorId="2" shapeId="0" xr:uid="{6DEC9F31-3278-420F-A7BF-4D46352A82DC}">
      <text>
        <r>
          <rPr>
            <sz val="11"/>
            <color theme="1"/>
            <rFont val="Calibri"/>
            <family val="2"/>
            <scheme val="minor"/>
          </rPr>
          <t>Monto calculado automáticamente por el sistema</t>
        </r>
      </text>
    </comment>
    <comment ref="A1146" authorId="2" shapeId="0" xr:uid="{C212E3FB-E3DD-4B74-AB53-B719CA4DE6B1}">
      <text>
        <r>
          <rPr>
            <sz val="11"/>
            <color theme="1"/>
            <rFont val="Calibri"/>
            <family val="2"/>
            <scheme val="minor"/>
          </rPr>
          <t>Introducir un texto con el nombre o referencia de la contratación</t>
        </r>
      </text>
    </comment>
    <comment ref="B1146" authorId="2" shapeId="0" xr:uid="{28F25968-160A-4444-947E-DD9C2BCBFD2C}">
      <text>
        <r>
          <rPr>
            <sz val="11"/>
            <color theme="1"/>
            <rFont val="Calibri"/>
            <family val="2"/>
            <scheme val="minor"/>
          </rPr>
          <t>Introduzca un texto con la finalidad de la contratación</t>
        </r>
      </text>
    </comment>
    <comment ref="C1146" authorId="2" shapeId="0" xr:uid="{025FB405-EDE8-4D32-B6B1-941534F5B1EF}">
      <text>
        <r>
          <rPr>
            <sz val="11"/>
            <color theme="1"/>
            <rFont val="Calibri"/>
            <family val="2"/>
            <scheme val="minor"/>
          </rPr>
          <t>Seleccionar un valor del listado</t>
        </r>
      </text>
    </comment>
    <comment ref="D1146" authorId="2" shapeId="0" xr:uid="{8EA571C6-3BAC-4FFF-9C91-8024E6C8D3BE}">
      <text>
        <r>
          <rPr>
            <sz val="11"/>
            <color theme="1"/>
            <rFont val="Calibri"/>
            <family val="2"/>
            <scheme val="minor"/>
          </rPr>
          <t>Seleccione el tipo de procedimiento</t>
        </r>
      </text>
    </comment>
    <comment ref="E1146" authorId="2" shapeId="0" xr:uid="{B0104287-74C7-4973-A517-4852F6B28585}">
      <text>
        <r>
          <rPr>
            <sz val="11"/>
            <color theme="1"/>
            <rFont val="Calibri"/>
            <family val="2"/>
            <scheme val="minor"/>
          </rPr>
          <t>Seleccione un valor de la lista</t>
        </r>
      </text>
    </comment>
    <comment ref="F1146" authorId="2" shapeId="0" xr:uid="{F9BAD2B3-67A8-4DA2-9BB5-1FA7C747AEAE}">
      <text>
        <r>
          <rPr>
            <sz val="11"/>
            <color theme="1"/>
            <rFont val="Calibri"/>
            <family val="2"/>
            <scheme val="minor"/>
          </rPr>
          <t>Introduzca el código SNIP</t>
        </r>
      </text>
    </comment>
    <comment ref="C1147" authorId="2" shapeId="0" xr:uid="{E7AC10E7-AF25-473C-9CE3-5D44C8C496B3}">
      <text>
        <r>
          <rPr>
            <sz val="11"/>
            <color theme="1"/>
            <rFont val="Calibri"/>
            <family val="2"/>
            <scheme val="minor"/>
          </rPr>
          <t>Introduzca la fecha de inicio del proceso, en formato dd-mm-aaaa</t>
        </r>
      </text>
    </comment>
    <comment ref="F1147" authorId="2" shapeId="0" xr:uid="{1C4745C6-B0ED-4F7E-B2C0-13F33669CF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2" shapeId="0" xr:uid="{BD92AC69-208D-44F7-8570-DE1C0FE2185A}">
      <text/>
    </comment>
    <comment ref="C1149" authorId="2" shapeId="0" xr:uid="{B4F13660-24A4-4A67-AE81-BBB440487B72}">
      <text>
        <r>
          <rPr>
            <sz val="11"/>
            <color theme="1"/>
            <rFont val="Calibri"/>
            <family val="2"/>
            <scheme val="minor"/>
          </rPr>
          <t>Introduzca la fecha prevista de adjudicación, en formato dd-mm-aaaa</t>
        </r>
      </text>
    </comment>
    <comment ref="F1149" authorId="2" shapeId="0" xr:uid="{69D66F1C-069E-48FE-B801-8741F84B2649}">
      <text/>
    </comment>
    <comment ref="F1150" authorId="2" shapeId="0" xr:uid="{F3C911DC-60EF-4F05-A417-B4E6D3C5E6BB}">
      <text/>
    </comment>
    <comment ref="A1152" authorId="2" shapeId="0" xr:uid="{560D81E4-2AA8-4F67-BB34-50B74ACC976A}">
      <text>
        <r>
          <rPr>
            <sz val="11"/>
            <color theme="1"/>
            <rFont val="Calibri"/>
            <family val="2"/>
            <scheme val="minor"/>
          </rPr>
          <t>Introduzca un codigo UNSPSC</t>
        </r>
      </text>
    </comment>
    <comment ref="B1152" authorId="2" shapeId="0" xr:uid="{DF9836B4-060D-4073-B9D1-4941E09EC3E5}">
      <text>
        <r>
          <rPr>
            <sz val="11"/>
            <color theme="1"/>
            <rFont val="Calibri"/>
            <family val="2"/>
            <scheme val="minor"/>
          </rPr>
          <t>Descripción calculada automáticamente a partir de código del artículo</t>
        </r>
      </text>
    </comment>
    <comment ref="C1152" authorId="2" shapeId="0" xr:uid="{4362436E-ED5E-4321-873E-7E2DE14E09EB}">
      <text>
        <r>
          <rPr>
            <sz val="11"/>
            <color theme="1"/>
            <rFont val="Calibri"/>
            <family val="2"/>
            <scheme val="minor"/>
          </rPr>
          <t>Seleccione un valor de la lista</t>
        </r>
      </text>
    </comment>
    <comment ref="D1152" authorId="2" shapeId="0" xr:uid="{B80CCF06-D470-472A-B3B9-BC59209B06FE}">
      <text>
        <r>
          <rPr>
            <sz val="11"/>
            <color theme="1"/>
            <rFont val="Calibri"/>
            <family val="2"/>
            <scheme val="minor"/>
          </rPr>
          <t>Introduzca un número con dos decimales como máximo. Debe ser igual o mayor a la "Cantidad Real Consumida"</t>
        </r>
      </text>
    </comment>
    <comment ref="E1152" authorId="2" shapeId="0" xr:uid="{756237CA-DB2F-44AC-8A80-133EFFA0A78B}">
      <text>
        <r>
          <rPr>
            <sz val="11"/>
            <color theme="1"/>
            <rFont val="Calibri"/>
            <family val="2"/>
            <scheme val="minor"/>
          </rPr>
          <t>Introduzca un número con dos decimales como máximo</t>
        </r>
      </text>
    </comment>
    <comment ref="F1152" authorId="2" shapeId="0" xr:uid="{DDA54BD9-92A7-4005-8094-CBF7F118F3E1}">
      <text>
        <r>
          <rPr>
            <sz val="11"/>
            <color theme="1"/>
            <rFont val="Calibri"/>
            <family val="2"/>
            <scheme val="minor"/>
          </rPr>
          <t>Monto calculado automáticamente por el sistema</t>
        </r>
      </text>
    </comment>
    <comment ref="A1157" authorId="2" shapeId="0" xr:uid="{B3E5F073-10DC-496A-AFB9-918840841452}">
      <text>
        <r>
          <rPr>
            <sz val="11"/>
            <color theme="1"/>
            <rFont val="Calibri"/>
            <family val="2"/>
            <scheme val="minor"/>
          </rPr>
          <t>Introducir un texto con el nombre o referencia de la contratación</t>
        </r>
      </text>
    </comment>
    <comment ref="B1157" authorId="2" shapeId="0" xr:uid="{D5BFDBD9-993C-4EE4-A67B-F6A6B374B4AF}">
      <text>
        <r>
          <rPr>
            <sz val="11"/>
            <color theme="1"/>
            <rFont val="Calibri"/>
            <family val="2"/>
            <scheme val="minor"/>
          </rPr>
          <t>Introduzca un texto con la finalidad de la contratación</t>
        </r>
      </text>
    </comment>
    <comment ref="C1157" authorId="2" shapeId="0" xr:uid="{1CA300DE-F69C-4725-B7BD-6903B4349938}">
      <text>
        <r>
          <rPr>
            <sz val="11"/>
            <color theme="1"/>
            <rFont val="Calibri"/>
            <family val="2"/>
            <scheme val="minor"/>
          </rPr>
          <t>Seleccionar un valor del listado</t>
        </r>
      </text>
    </comment>
    <comment ref="D1157" authorId="2" shapeId="0" xr:uid="{BB8A9A51-8575-436B-9EE3-DD26371F529B}">
      <text>
        <r>
          <rPr>
            <sz val="11"/>
            <color theme="1"/>
            <rFont val="Calibri"/>
            <family val="2"/>
            <scheme val="minor"/>
          </rPr>
          <t>Seleccione el tipo de procedimiento</t>
        </r>
      </text>
    </comment>
    <comment ref="E1157" authorId="2" shapeId="0" xr:uid="{A1B2B89C-B601-48EA-A493-C1C2851BD179}">
      <text>
        <r>
          <rPr>
            <sz val="11"/>
            <color theme="1"/>
            <rFont val="Calibri"/>
            <family val="2"/>
            <scheme val="minor"/>
          </rPr>
          <t>Seleccione un valor de la lista</t>
        </r>
      </text>
    </comment>
    <comment ref="F1157" authorId="2" shapeId="0" xr:uid="{22A83C63-4D27-4C19-AE3D-9C03152D2CD2}">
      <text>
        <r>
          <rPr>
            <sz val="11"/>
            <color theme="1"/>
            <rFont val="Calibri"/>
            <family val="2"/>
            <scheme val="minor"/>
          </rPr>
          <t>Introduzca el código SNIP</t>
        </r>
      </text>
    </comment>
    <comment ref="C1158" authorId="2" shapeId="0" xr:uid="{6B37881D-4823-4173-BC04-85E0F1F08AE7}">
      <text>
        <r>
          <rPr>
            <sz val="11"/>
            <color theme="1"/>
            <rFont val="Calibri"/>
            <family val="2"/>
            <scheme val="minor"/>
          </rPr>
          <t>Introduzca la fecha de inicio del proceso, en formato dd-mm-aaaa</t>
        </r>
      </text>
    </comment>
    <comment ref="F1158" authorId="2" shapeId="0" xr:uid="{4885ADB5-0AE2-45BA-8DEF-BA4E46870A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2" shapeId="0" xr:uid="{87893E03-7840-4A6D-BDDC-FA8343582E59}">
      <text/>
    </comment>
    <comment ref="C1160" authorId="2" shapeId="0" xr:uid="{8E4A2C3F-3E94-443F-86D5-5FC745EFE07D}">
      <text>
        <r>
          <rPr>
            <sz val="11"/>
            <color theme="1"/>
            <rFont val="Calibri"/>
            <family val="2"/>
            <scheme val="minor"/>
          </rPr>
          <t>Introduzca la fecha prevista de adjudicación, en formato dd-mm-aaaa</t>
        </r>
      </text>
    </comment>
    <comment ref="F1160" authorId="2" shapeId="0" xr:uid="{6C6439A3-B85D-4B8F-9D6D-0C3EB48E941A}">
      <text/>
    </comment>
    <comment ref="F1161" authorId="2" shapeId="0" xr:uid="{C2CCC046-D593-45C3-935A-067CD3FB691B}">
      <text/>
    </comment>
    <comment ref="A1163" authorId="2" shapeId="0" xr:uid="{FA19163B-8B1F-4814-AD7A-1E7E983B08FE}">
      <text>
        <r>
          <rPr>
            <sz val="11"/>
            <color theme="1"/>
            <rFont val="Calibri"/>
            <family val="2"/>
            <scheme val="minor"/>
          </rPr>
          <t>Introduzca un codigo UNSPSC</t>
        </r>
      </text>
    </comment>
    <comment ref="B1163" authorId="2" shapeId="0" xr:uid="{E0C16892-D8A4-40BE-B0D6-A4199FA35AB4}">
      <text>
        <r>
          <rPr>
            <sz val="11"/>
            <color theme="1"/>
            <rFont val="Calibri"/>
            <family val="2"/>
            <scheme val="minor"/>
          </rPr>
          <t>Descripción calculada automáticamente a partir de código del artículo</t>
        </r>
      </text>
    </comment>
    <comment ref="C1163" authorId="2" shapeId="0" xr:uid="{4612FFC3-04EE-4CF6-855F-EE9BAA2DDDF6}">
      <text>
        <r>
          <rPr>
            <sz val="11"/>
            <color theme="1"/>
            <rFont val="Calibri"/>
            <family val="2"/>
            <scheme val="minor"/>
          </rPr>
          <t>Seleccione un valor de la lista</t>
        </r>
      </text>
    </comment>
    <comment ref="D1163" authorId="2" shapeId="0" xr:uid="{BDFA2968-2BAD-4DFC-9F9D-FF23020EBE89}">
      <text>
        <r>
          <rPr>
            <sz val="11"/>
            <color theme="1"/>
            <rFont val="Calibri"/>
            <family val="2"/>
            <scheme val="minor"/>
          </rPr>
          <t>Introduzca un número con dos decimales como máximo. Debe ser igual o mayor a la "Cantidad Real Consumida"</t>
        </r>
      </text>
    </comment>
    <comment ref="E1163" authorId="2" shapeId="0" xr:uid="{1D6D9A5F-FB8B-4752-BBA3-5B1C4F690996}">
      <text>
        <r>
          <rPr>
            <sz val="11"/>
            <color theme="1"/>
            <rFont val="Calibri"/>
            <family val="2"/>
            <scheme val="minor"/>
          </rPr>
          <t>Introduzca un número con dos decimales como máximo</t>
        </r>
      </text>
    </comment>
    <comment ref="F1163" authorId="2" shapeId="0" xr:uid="{24922415-5FD5-4E44-AA88-8B140146F43A}">
      <text>
        <r>
          <rPr>
            <sz val="11"/>
            <color theme="1"/>
            <rFont val="Calibri"/>
            <family val="2"/>
            <scheme val="minor"/>
          </rPr>
          <t>Monto calculado automáticamente por el sistema</t>
        </r>
      </text>
    </comment>
    <comment ref="A1168" authorId="2" shapeId="0" xr:uid="{FC2F9394-B6B4-4D9F-9011-217143F8C54B}">
      <text>
        <r>
          <rPr>
            <sz val="11"/>
            <color theme="1"/>
            <rFont val="Calibri"/>
            <family val="2"/>
            <scheme val="minor"/>
          </rPr>
          <t>Introducir un texto con el nombre o referencia de la contratación</t>
        </r>
      </text>
    </comment>
    <comment ref="B1168" authorId="2" shapeId="0" xr:uid="{B86A7132-344D-4C90-8D71-BA328B35DA1F}">
      <text>
        <r>
          <rPr>
            <sz val="11"/>
            <color theme="1"/>
            <rFont val="Calibri"/>
            <family val="2"/>
            <scheme val="minor"/>
          </rPr>
          <t>Introduzca un texto con la finalidad de la contratación</t>
        </r>
      </text>
    </comment>
    <comment ref="C1168" authorId="2" shapeId="0" xr:uid="{C815CB76-7548-4BDC-963C-1B425527B1ED}">
      <text>
        <r>
          <rPr>
            <sz val="11"/>
            <color theme="1"/>
            <rFont val="Calibri"/>
            <family val="2"/>
            <scheme val="minor"/>
          </rPr>
          <t>Seleccionar un valor del listado</t>
        </r>
      </text>
    </comment>
    <comment ref="D1168" authorId="2" shapeId="0" xr:uid="{0AB0E9BB-BF16-4120-A7F3-4180F42AC19F}">
      <text>
        <r>
          <rPr>
            <sz val="11"/>
            <color theme="1"/>
            <rFont val="Calibri"/>
            <family val="2"/>
            <scheme val="minor"/>
          </rPr>
          <t>Seleccione el tipo de procedimiento</t>
        </r>
      </text>
    </comment>
    <comment ref="E1168" authorId="2" shapeId="0" xr:uid="{ACE0564D-DA0D-4EC7-8943-B6352C92F483}">
      <text>
        <r>
          <rPr>
            <sz val="11"/>
            <color theme="1"/>
            <rFont val="Calibri"/>
            <family val="2"/>
            <scheme val="minor"/>
          </rPr>
          <t>Seleccione un valor de la lista</t>
        </r>
      </text>
    </comment>
    <comment ref="F1168" authorId="2" shapeId="0" xr:uid="{B2882338-11A6-424B-B015-7B642CBBCCBD}">
      <text>
        <r>
          <rPr>
            <sz val="11"/>
            <color theme="1"/>
            <rFont val="Calibri"/>
            <family val="2"/>
            <scheme val="minor"/>
          </rPr>
          <t>Introduzca el código SNIP</t>
        </r>
      </text>
    </comment>
    <comment ref="C1169" authorId="2" shapeId="0" xr:uid="{C1FC3658-0F48-4372-9F48-E7348E92373B}">
      <text>
        <r>
          <rPr>
            <sz val="11"/>
            <color theme="1"/>
            <rFont val="Calibri"/>
            <family val="2"/>
            <scheme val="minor"/>
          </rPr>
          <t>Introduzca la fecha de inicio del proceso, en formato dd-mm-aaaa</t>
        </r>
      </text>
    </comment>
    <comment ref="F1169" authorId="2" shapeId="0" xr:uid="{7033EA20-18A8-440A-B721-EE03AF63B1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2" shapeId="0" xr:uid="{C5D6371F-2AB9-4DBE-9D0B-F4F36025D1C8}">
      <text/>
    </comment>
    <comment ref="C1171" authorId="2" shapeId="0" xr:uid="{95EF689B-8C8D-4BA4-802B-625838B332E9}">
      <text>
        <r>
          <rPr>
            <sz val="11"/>
            <color theme="1"/>
            <rFont val="Calibri"/>
            <family val="2"/>
            <scheme val="minor"/>
          </rPr>
          <t>Introduzca la fecha prevista de adjudicación, en formato dd-mm-aaaa</t>
        </r>
      </text>
    </comment>
    <comment ref="F1171" authorId="2" shapeId="0" xr:uid="{4325F35D-1104-4470-9BE6-906350E647B7}">
      <text/>
    </comment>
    <comment ref="F1172" authorId="2" shapeId="0" xr:uid="{146EEF1E-A021-4B4B-9DEC-30803251C6E4}">
      <text/>
    </comment>
    <comment ref="A1174" authorId="2" shapeId="0" xr:uid="{48E39D7D-F66C-4812-8EC8-B4A1209AC03D}">
      <text>
        <r>
          <rPr>
            <sz val="11"/>
            <color theme="1"/>
            <rFont val="Calibri"/>
            <family val="2"/>
            <scheme val="minor"/>
          </rPr>
          <t>Introduzca un codigo UNSPSC</t>
        </r>
      </text>
    </comment>
    <comment ref="B1174" authorId="2" shapeId="0" xr:uid="{B97664E6-F535-43F7-B1D8-03945BFC67FB}">
      <text>
        <r>
          <rPr>
            <sz val="11"/>
            <color theme="1"/>
            <rFont val="Calibri"/>
            <family val="2"/>
            <scheme val="minor"/>
          </rPr>
          <t>Descripción calculada automáticamente a partir de código del artículo</t>
        </r>
      </text>
    </comment>
    <comment ref="C1174" authorId="2" shapeId="0" xr:uid="{719D7AE9-E61D-4989-B536-55D2B1CE4340}">
      <text>
        <r>
          <rPr>
            <sz val="11"/>
            <color theme="1"/>
            <rFont val="Calibri"/>
            <family val="2"/>
            <scheme val="minor"/>
          </rPr>
          <t>Seleccione un valor de la lista</t>
        </r>
      </text>
    </comment>
    <comment ref="D1174" authorId="2" shapeId="0" xr:uid="{CA534005-EC3C-423A-B5CC-0EBAB9D02915}">
      <text>
        <r>
          <rPr>
            <sz val="11"/>
            <color theme="1"/>
            <rFont val="Calibri"/>
            <family val="2"/>
            <scheme val="minor"/>
          </rPr>
          <t>Introduzca un número con dos decimales como máximo. Debe ser igual o mayor a la "Cantidad Real Consumida"</t>
        </r>
      </text>
    </comment>
    <comment ref="E1174" authorId="2" shapeId="0" xr:uid="{FD13B57A-12D9-44E5-BE4E-9F22AF2885E5}">
      <text>
        <r>
          <rPr>
            <sz val="11"/>
            <color theme="1"/>
            <rFont val="Calibri"/>
            <family val="2"/>
            <scheme val="minor"/>
          </rPr>
          <t>Introduzca un número con dos decimales como máximo</t>
        </r>
      </text>
    </comment>
    <comment ref="F1174" authorId="2" shapeId="0" xr:uid="{938D259A-8FCD-49B6-A627-C96618F02ECC}">
      <text>
        <r>
          <rPr>
            <sz val="11"/>
            <color theme="1"/>
            <rFont val="Calibri"/>
            <family val="2"/>
            <scheme val="minor"/>
          </rPr>
          <t>Monto calculado automáticamente por el sistema</t>
        </r>
      </text>
    </comment>
    <comment ref="A1180" authorId="2" shapeId="0" xr:uid="{99E60D55-B42A-48C7-B1CE-EA08256208CF}">
      <text>
        <r>
          <rPr>
            <sz val="11"/>
            <color theme="1"/>
            <rFont val="Calibri"/>
            <family val="2"/>
            <scheme val="minor"/>
          </rPr>
          <t>Introducir un texto con el nombre o referencia de la contratación</t>
        </r>
      </text>
    </comment>
    <comment ref="B1180" authorId="2" shapeId="0" xr:uid="{FEFD497C-25F2-4D9B-8A5E-DB16E3918619}">
      <text>
        <r>
          <rPr>
            <sz val="11"/>
            <color theme="1"/>
            <rFont val="Calibri"/>
            <family val="2"/>
            <scheme val="minor"/>
          </rPr>
          <t>Introduzca un texto con la finalidad de la contratación</t>
        </r>
      </text>
    </comment>
    <comment ref="C1180" authorId="2" shapeId="0" xr:uid="{AFCAF6DE-65D8-4219-9694-C4BFFB8FD255}">
      <text>
        <r>
          <rPr>
            <sz val="11"/>
            <color theme="1"/>
            <rFont val="Calibri"/>
            <family val="2"/>
            <scheme val="minor"/>
          </rPr>
          <t>Seleccionar un valor del listado</t>
        </r>
      </text>
    </comment>
    <comment ref="D1180" authorId="2" shapeId="0" xr:uid="{EA917D7D-5277-4225-9BA2-C7657F020578}">
      <text>
        <r>
          <rPr>
            <sz val="11"/>
            <color theme="1"/>
            <rFont val="Calibri"/>
            <family val="2"/>
            <scheme val="minor"/>
          </rPr>
          <t>Seleccione el tipo de procedimiento</t>
        </r>
      </text>
    </comment>
    <comment ref="E1180" authorId="2" shapeId="0" xr:uid="{65738C9C-E032-47DE-8690-04955135E3D6}">
      <text>
        <r>
          <rPr>
            <sz val="11"/>
            <color theme="1"/>
            <rFont val="Calibri"/>
            <family val="2"/>
            <scheme val="minor"/>
          </rPr>
          <t>Seleccione un valor de la lista</t>
        </r>
      </text>
    </comment>
    <comment ref="F1180" authorId="2" shapeId="0" xr:uid="{4B2A89BC-68E9-4BA3-8964-43259B7BDB88}">
      <text>
        <r>
          <rPr>
            <sz val="11"/>
            <color theme="1"/>
            <rFont val="Calibri"/>
            <family val="2"/>
            <scheme val="minor"/>
          </rPr>
          <t>Introduzca el código SNIP</t>
        </r>
      </text>
    </comment>
    <comment ref="C1181" authorId="2" shapeId="0" xr:uid="{140AA0EF-DCB6-49B7-A9CF-74AC42D8C37A}">
      <text>
        <r>
          <rPr>
            <sz val="11"/>
            <color theme="1"/>
            <rFont val="Calibri"/>
            <family val="2"/>
            <scheme val="minor"/>
          </rPr>
          <t>Introduzca la fecha de inicio del proceso, en formato dd-mm-aaaa</t>
        </r>
      </text>
    </comment>
    <comment ref="F1181" authorId="2" shapeId="0" xr:uid="{DD3547CB-4599-4C9C-89FA-F9D7E63E3C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2" shapeId="0" xr:uid="{E3546A10-C2A4-4349-A66C-E88F41378609}">
      <text/>
    </comment>
    <comment ref="C1183" authorId="2" shapeId="0" xr:uid="{2D4359D2-4549-4A7D-801E-5C42015864EB}">
      <text>
        <r>
          <rPr>
            <sz val="11"/>
            <color theme="1"/>
            <rFont val="Calibri"/>
            <family val="2"/>
            <scheme val="minor"/>
          </rPr>
          <t>Introduzca la fecha prevista de adjudicación, en formato dd-mm-aaaa</t>
        </r>
      </text>
    </comment>
    <comment ref="F1183" authorId="2" shapeId="0" xr:uid="{C4FF97AC-B60A-4382-89BA-8D0765B6497F}">
      <text/>
    </comment>
    <comment ref="F1184" authorId="2" shapeId="0" xr:uid="{C55BB4CE-861C-474F-89C7-91C78BBCB5B5}">
      <text/>
    </comment>
    <comment ref="A1186" authorId="2" shapeId="0" xr:uid="{1C3609BD-10DA-4038-A667-5511A66451F5}">
      <text>
        <r>
          <rPr>
            <sz val="11"/>
            <color theme="1"/>
            <rFont val="Calibri"/>
            <family val="2"/>
            <scheme val="minor"/>
          </rPr>
          <t>Introduzca un codigo UNSPSC</t>
        </r>
      </text>
    </comment>
    <comment ref="B1186" authorId="2" shapeId="0" xr:uid="{09A2D798-5DCF-4165-B69F-9603474AD677}">
      <text>
        <r>
          <rPr>
            <sz val="11"/>
            <color theme="1"/>
            <rFont val="Calibri"/>
            <family val="2"/>
            <scheme val="minor"/>
          </rPr>
          <t>Descripción calculada automáticamente a partir de código del artículo</t>
        </r>
      </text>
    </comment>
    <comment ref="C1186" authorId="2" shapeId="0" xr:uid="{7B66E3B7-29DA-449A-BB34-98A8F9BED7EA}">
      <text>
        <r>
          <rPr>
            <sz val="11"/>
            <color theme="1"/>
            <rFont val="Calibri"/>
            <family val="2"/>
            <scheme val="minor"/>
          </rPr>
          <t>Seleccione un valor de la lista</t>
        </r>
      </text>
    </comment>
    <comment ref="D1186" authorId="2" shapeId="0" xr:uid="{0AC09DE4-0F05-4A14-84C7-4DCC4D7CCAFA}">
      <text>
        <r>
          <rPr>
            <sz val="11"/>
            <color theme="1"/>
            <rFont val="Calibri"/>
            <family val="2"/>
            <scheme val="minor"/>
          </rPr>
          <t>Introduzca un número con dos decimales como máximo. Debe ser igual o mayor a la "Cantidad Real Consumida"</t>
        </r>
      </text>
    </comment>
    <comment ref="E1186" authorId="2" shapeId="0" xr:uid="{7ED3556F-295E-4EE0-9A05-1F9A91156A30}">
      <text>
        <r>
          <rPr>
            <sz val="11"/>
            <color theme="1"/>
            <rFont val="Calibri"/>
            <family val="2"/>
            <scheme val="minor"/>
          </rPr>
          <t>Introduzca un número con dos decimales como máximo</t>
        </r>
      </text>
    </comment>
    <comment ref="F1186" authorId="2" shapeId="0" xr:uid="{E0692890-39F4-47D9-9E64-D13CC8D5EC9B}">
      <text>
        <r>
          <rPr>
            <sz val="11"/>
            <color theme="1"/>
            <rFont val="Calibri"/>
            <family val="2"/>
            <scheme val="minor"/>
          </rPr>
          <t>Monto calculado automáticamente por el sistema</t>
        </r>
      </text>
    </comment>
    <comment ref="A1191" authorId="2" shapeId="0" xr:uid="{62FB7035-090C-4C4C-AA32-D1145450A43C}">
      <text>
        <r>
          <rPr>
            <sz val="11"/>
            <color theme="1"/>
            <rFont val="Calibri"/>
            <family val="2"/>
            <scheme val="minor"/>
          </rPr>
          <t>Introducir un texto con el nombre o referencia de la contratación</t>
        </r>
      </text>
    </comment>
    <comment ref="B1191" authorId="2" shapeId="0" xr:uid="{76050744-530C-4BBB-8445-E5BF8C6EEF94}">
      <text>
        <r>
          <rPr>
            <sz val="11"/>
            <color theme="1"/>
            <rFont val="Calibri"/>
            <family val="2"/>
            <scheme val="minor"/>
          </rPr>
          <t>Introduzca un texto con la finalidad de la contratación</t>
        </r>
      </text>
    </comment>
    <comment ref="C1191" authorId="2" shapeId="0" xr:uid="{D9F102BA-7E6D-4932-ADE2-B3FE14A9E3D5}">
      <text>
        <r>
          <rPr>
            <sz val="11"/>
            <color theme="1"/>
            <rFont val="Calibri"/>
            <family val="2"/>
            <scheme val="minor"/>
          </rPr>
          <t>Seleccionar un valor del listado</t>
        </r>
      </text>
    </comment>
    <comment ref="D1191" authorId="2" shapeId="0" xr:uid="{4C77D440-4203-4918-A499-9F439302A2EB}">
      <text>
        <r>
          <rPr>
            <sz val="11"/>
            <color theme="1"/>
            <rFont val="Calibri"/>
            <family val="2"/>
            <scheme val="minor"/>
          </rPr>
          <t>Seleccione el tipo de procedimiento</t>
        </r>
      </text>
    </comment>
    <comment ref="E1191" authorId="2" shapeId="0" xr:uid="{E8DDF1A4-04C5-4751-BC2F-B88B0EFFB8B8}">
      <text>
        <r>
          <rPr>
            <sz val="11"/>
            <color theme="1"/>
            <rFont val="Calibri"/>
            <family val="2"/>
            <scheme val="minor"/>
          </rPr>
          <t>Seleccione un valor de la lista</t>
        </r>
      </text>
    </comment>
    <comment ref="F1191" authorId="2" shapeId="0" xr:uid="{5206E287-A8B0-45B3-80BB-D5021B98E4F6}">
      <text>
        <r>
          <rPr>
            <sz val="11"/>
            <color theme="1"/>
            <rFont val="Calibri"/>
            <family val="2"/>
            <scheme val="minor"/>
          </rPr>
          <t>Introduzca el código SNIP</t>
        </r>
      </text>
    </comment>
    <comment ref="C1192" authorId="2" shapeId="0" xr:uid="{7E36E1B7-EDE8-4B67-A231-E36C8BF88C6E}">
      <text>
        <r>
          <rPr>
            <sz val="11"/>
            <color theme="1"/>
            <rFont val="Calibri"/>
            <family val="2"/>
            <scheme val="minor"/>
          </rPr>
          <t>Introduzca la fecha de inicio del proceso, en formato dd-mm-aaaa</t>
        </r>
      </text>
    </comment>
    <comment ref="F1192" authorId="2" shapeId="0" xr:uid="{77DBDBD7-EFA5-4FDE-BF29-748E34E287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2" shapeId="0" xr:uid="{51F0295A-C9BF-4DB8-8113-4B5F48E200A5}">
      <text/>
    </comment>
    <comment ref="C1194" authorId="2" shapeId="0" xr:uid="{AAFC3C73-BFC5-46D9-9553-8F2CD8C97FA2}">
      <text>
        <r>
          <rPr>
            <sz val="11"/>
            <color theme="1"/>
            <rFont val="Calibri"/>
            <family val="2"/>
            <scheme val="minor"/>
          </rPr>
          <t>Introduzca la fecha prevista de adjudicación, en formato dd-mm-aaaa</t>
        </r>
      </text>
    </comment>
    <comment ref="F1194" authorId="2" shapeId="0" xr:uid="{C12ABE56-4750-4183-9DD9-55ABA915E296}">
      <text/>
    </comment>
    <comment ref="F1195" authorId="2" shapeId="0" xr:uid="{23F90EEA-BA6D-4C41-B9C7-E1A9BD38C5DE}">
      <text/>
    </comment>
    <comment ref="A1197" authorId="2" shapeId="0" xr:uid="{8DDE51B0-DF73-4490-92E5-9F8524A279ED}">
      <text>
        <r>
          <rPr>
            <sz val="11"/>
            <color theme="1"/>
            <rFont val="Calibri"/>
            <family val="2"/>
            <scheme val="minor"/>
          </rPr>
          <t>Introduzca un codigo UNSPSC</t>
        </r>
      </text>
    </comment>
    <comment ref="B1197" authorId="2" shapeId="0" xr:uid="{B60ED646-7E5A-4F0D-B999-C8C405451E1F}">
      <text>
        <r>
          <rPr>
            <sz val="11"/>
            <color theme="1"/>
            <rFont val="Calibri"/>
            <family val="2"/>
            <scheme val="minor"/>
          </rPr>
          <t>Descripción calculada automáticamente a partir de código del artículo</t>
        </r>
      </text>
    </comment>
    <comment ref="C1197" authorId="2" shapeId="0" xr:uid="{6ABA2E36-DE70-4B55-8DE8-00E799B1B292}">
      <text>
        <r>
          <rPr>
            <sz val="11"/>
            <color theme="1"/>
            <rFont val="Calibri"/>
            <family val="2"/>
            <scheme val="minor"/>
          </rPr>
          <t>Seleccione un valor de la lista</t>
        </r>
      </text>
    </comment>
    <comment ref="D1197" authorId="2" shapeId="0" xr:uid="{043FF60D-5C3E-4DB5-9726-E334067EB6F3}">
      <text>
        <r>
          <rPr>
            <sz val="11"/>
            <color theme="1"/>
            <rFont val="Calibri"/>
            <family val="2"/>
            <scheme val="minor"/>
          </rPr>
          <t>Introduzca un número con dos decimales como máximo. Debe ser igual o mayor a la "Cantidad Real Consumida"</t>
        </r>
      </text>
    </comment>
    <comment ref="E1197" authorId="2" shapeId="0" xr:uid="{BCDD1C68-7DEB-4517-859F-470EA51165F3}">
      <text>
        <r>
          <rPr>
            <sz val="11"/>
            <color theme="1"/>
            <rFont val="Calibri"/>
            <family val="2"/>
            <scheme val="minor"/>
          </rPr>
          <t>Introduzca un número con dos decimales como máximo</t>
        </r>
      </text>
    </comment>
    <comment ref="F1197" authorId="2" shapeId="0" xr:uid="{A2B6A2B5-72A4-42E9-AF06-BFF3315E1D74}">
      <text>
        <r>
          <rPr>
            <sz val="11"/>
            <color theme="1"/>
            <rFont val="Calibri"/>
            <family val="2"/>
            <scheme val="minor"/>
          </rPr>
          <t>Monto calculado automáticamente por el sistema</t>
        </r>
      </text>
    </comment>
    <comment ref="A1202" authorId="2" shapeId="0" xr:uid="{1D0C091C-A28B-4BA0-97E1-39E0E3660773}">
      <text>
        <r>
          <rPr>
            <sz val="11"/>
            <color theme="1"/>
            <rFont val="Calibri"/>
            <family val="2"/>
            <scheme val="minor"/>
          </rPr>
          <t>Introducir un texto con el nombre o referencia de la contratación</t>
        </r>
      </text>
    </comment>
    <comment ref="B1202" authorId="2" shapeId="0" xr:uid="{DB328567-970E-4203-8392-CC3AFF01FF80}">
      <text>
        <r>
          <rPr>
            <sz val="11"/>
            <color theme="1"/>
            <rFont val="Calibri"/>
            <family val="2"/>
            <scheme val="minor"/>
          </rPr>
          <t>Introduzca un texto con la finalidad de la contratación</t>
        </r>
      </text>
    </comment>
    <comment ref="C1202" authorId="2" shapeId="0" xr:uid="{EBB23C9C-E360-433F-82AD-60B6DD67EEAE}">
      <text>
        <r>
          <rPr>
            <sz val="11"/>
            <color theme="1"/>
            <rFont val="Calibri"/>
            <family val="2"/>
            <scheme val="minor"/>
          </rPr>
          <t>Seleccionar un valor del listado</t>
        </r>
      </text>
    </comment>
    <comment ref="D1202" authorId="2" shapeId="0" xr:uid="{F02521C1-14E2-406D-BA20-DD7D7C1078BF}">
      <text>
        <r>
          <rPr>
            <sz val="11"/>
            <color theme="1"/>
            <rFont val="Calibri"/>
            <family val="2"/>
            <scheme val="minor"/>
          </rPr>
          <t>Seleccione el tipo de procedimiento</t>
        </r>
      </text>
    </comment>
    <comment ref="E1202" authorId="2" shapeId="0" xr:uid="{24E9CB4C-0ECE-44DF-87EE-11FE36B942A8}">
      <text>
        <r>
          <rPr>
            <sz val="11"/>
            <color theme="1"/>
            <rFont val="Calibri"/>
            <family val="2"/>
            <scheme val="minor"/>
          </rPr>
          <t>Seleccione un valor de la lista</t>
        </r>
      </text>
    </comment>
    <comment ref="F1202" authorId="2" shapeId="0" xr:uid="{F3AEC2D7-7BE9-4911-BB3B-5F6A55D3D8D6}">
      <text>
        <r>
          <rPr>
            <sz val="11"/>
            <color theme="1"/>
            <rFont val="Calibri"/>
            <family val="2"/>
            <scheme val="minor"/>
          </rPr>
          <t>Introduzca el código SNIP</t>
        </r>
      </text>
    </comment>
    <comment ref="C1203" authorId="2" shapeId="0" xr:uid="{A159ACB9-A1DA-4FFE-9825-A40982A6564E}">
      <text>
        <r>
          <rPr>
            <sz val="11"/>
            <color theme="1"/>
            <rFont val="Calibri"/>
            <family val="2"/>
            <scheme val="minor"/>
          </rPr>
          <t>Introduzca la fecha de inicio del proceso, en formato dd-mm-aaaa</t>
        </r>
      </text>
    </comment>
    <comment ref="F1203" authorId="2" shapeId="0" xr:uid="{CD8365BF-6B3C-400B-8F2D-FE27FDE3D0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2" shapeId="0" xr:uid="{64770E5B-9693-4563-BB17-03BD7BD054CB}">
      <text/>
    </comment>
    <comment ref="C1205" authorId="2" shapeId="0" xr:uid="{5C73D13F-A13F-4484-AA6F-E17271AA4C78}">
      <text>
        <r>
          <rPr>
            <sz val="11"/>
            <color theme="1"/>
            <rFont val="Calibri"/>
            <family val="2"/>
            <scheme val="minor"/>
          </rPr>
          <t>Introduzca la fecha prevista de adjudicación, en formato dd-mm-aaaa</t>
        </r>
      </text>
    </comment>
    <comment ref="F1205" authorId="2" shapeId="0" xr:uid="{2412A26B-DFE4-4018-A79F-7BF3B799214B}">
      <text/>
    </comment>
    <comment ref="F1206" authorId="2" shapeId="0" xr:uid="{465F88AD-1E6E-4AD2-BECA-3095FEC5C5B7}">
      <text/>
    </comment>
    <comment ref="A1208" authorId="2" shapeId="0" xr:uid="{DDB7E9FC-0743-422D-93F7-9F0381C918C9}">
      <text>
        <r>
          <rPr>
            <sz val="11"/>
            <color theme="1"/>
            <rFont val="Calibri"/>
            <family val="2"/>
            <scheme val="minor"/>
          </rPr>
          <t>Introduzca un codigo UNSPSC</t>
        </r>
      </text>
    </comment>
    <comment ref="B1208" authorId="2" shapeId="0" xr:uid="{A6CD930A-3333-46B6-B793-4A61D557059A}">
      <text>
        <r>
          <rPr>
            <sz val="11"/>
            <color theme="1"/>
            <rFont val="Calibri"/>
            <family val="2"/>
            <scheme val="minor"/>
          </rPr>
          <t>Descripción calculada automáticamente a partir de código del artículo</t>
        </r>
      </text>
    </comment>
    <comment ref="C1208" authorId="2" shapeId="0" xr:uid="{9B524DE1-37FA-47D0-A419-43B831BBB240}">
      <text>
        <r>
          <rPr>
            <sz val="11"/>
            <color theme="1"/>
            <rFont val="Calibri"/>
            <family val="2"/>
            <scheme val="minor"/>
          </rPr>
          <t>Seleccione un valor de la lista</t>
        </r>
      </text>
    </comment>
    <comment ref="D1208" authorId="2" shapeId="0" xr:uid="{F0F0816A-30F0-490E-81A2-7077D63D590C}">
      <text>
        <r>
          <rPr>
            <sz val="11"/>
            <color theme="1"/>
            <rFont val="Calibri"/>
            <family val="2"/>
            <scheme val="minor"/>
          </rPr>
          <t>Introduzca un número con dos decimales como máximo. Debe ser igual o mayor a la "Cantidad Real Consumida"</t>
        </r>
      </text>
    </comment>
    <comment ref="E1208" authorId="2" shapeId="0" xr:uid="{104342A0-C929-4337-A2E5-5BD25A41B846}">
      <text>
        <r>
          <rPr>
            <sz val="11"/>
            <color theme="1"/>
            <rFont val="Calibri"/>
            <family val="2"/>
            <scheme val="minor"/>
          </rPr>
          <t>Introduzca un número con dos decimales como máximo</t>
        </r>
      </text>
    </comment>
    <comment ref="F1208" authorId="2" shapeId="0" xr:uid="{72B94D20-9192-431C-9ED9-E0DC27231343}">
      <text>
        <r>
          <rPr>
            <sz val="11"/>
            <color theme="1"/>
            <rFont val="Calibri"/>
            <family val="2"/>
            <scheme val="minor"/>
          </rPr>
          <t>Monto calculado automáticamente por el sistema</t>
        </r>
      </text>
    </comment>
    <comment ref="A1213" authorId="2" shapeId="0" xr:uid="{B270CF25-8CE6-4482-88FC-DCD8EB9F4A8F}">
      <text>
        <r>
          <rPr>
            <sz val="11"/>
            <color theme="1"/>
            <rFont val="Calibri"/>
            <family val="2"/>
            <scheme val="minor"/>
          </rPr>
          <t>Introducir un texto con el nombre o referencia de la contratación</t>
        </r>
      </text>
    </comment>
    <comment ref="B1213" authorId="2" shapeId="0" xr:uid="{FF003B62-196C-48C4-A0E5-0F1DE5308191}">
      <text>
        <r>
          <rPr>
            <sz val="11"/>
            <color theme="1"/>
            <rFont val="Calibri"/>
            <family val="2"/>
            <scheme val="minor"/>
          </rPr>
          <t>Introduzca un texto con la finalidad de la contratación</t>
        </r>
      </text>
    </comment>
    <comment ref="C1213" authorId="2" shapeId="0" xr:uid="{313548FD-FB4D-4E33-BEA9-330D51C67A1C}">
      <text>
        <r>
          <rPr>
            <sz val="11"/>
            <color theme="1"/>
            <rFont val="Calibri"/>
            <family val="2"/>
            <scheme val="minor"/>
          </rPr>
          <t>Seleccionar un valor del listado</t>
        </r>
      </text>
    </comment>
    <comment ref="D1213" authorId="2" shapeId="0" xr:uid="{E2791A36-E06F-4199-82CD-9F7B27B34484}">
      <text>
        <r>
          <rPr>
            <sz val="11"/>
            <color theme="1"/>
            <rFont val="Calibri"/>
            <family val="2"/>
            <scheme val="minor"/>
          </rPr>
          <t>Seleccione el tipo de procedimiento</t>
        </r>
      </text>
    </comment>
    <comment ref="E1213" authorId="2" shapeId="0" xr:uid="{28F4178E-301B-4676-BD68-6CF25F2AD8FB}">
      <text>
        <r>
          <rPr>
            <sz val="11"/>
            <color theme="1"/>
            <rFont val="Calibri"/>
            <family val="2"/>
            <scheme val="minor"/>
          </rPr>
          <t>Seleccione un valor de la lista</t>
        </r>
      </text>
    </comment>
    <comment ref="F1213" authorId="2" shapeId="0" xr:uid="{604897B4-296B-4610-8C48-837AC79C3A0B}">
      <text>
        <r>
          <rPr>
            <sz val="11"/>
            <color theme="1"/>
            <rFont val="Calibri"/>
            <family val="2"/>
            <scheme val="minor"/>
          </rPr>
          <t>Introduzca el código SNIP</t>
        </r>
      </text>
    </comment>
    <comment ref="C1214" authorId="2" shapeId="0" xr:uid="{277B8ABF-64A6-4CBB-80A7-7034A8388990}">
      <text>
        <r>
          <rPr>
            <sz val="11"/>
            <color theme="1"/>
            <rFont val="Calibri"/>
            <family val="2"/>
            <scheme val="minor"/>
          </rPr>
          <t>Introduzca la fecha de inicio del proceso, en formato dd-mm-aaaa</t>
        </r>
      </text>
    </comment>
    <comment ref="F1214" authorId="2" shapeId="0" xr:uid="{0664BFA2-CA10-4A49-9C96-8AACC0481F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2" shapeId="0" xr:uid="{8959D960-D432-4125-823F-736423B23EB1}">
      <text/>
    </comment>
    <comment ref="C1216" authorId="2" shapeId="0" xr:uid="{86A87F1B-B8FB-49D5-B21C-755B7D25994A}">
      <text>
        <r>
          <rPr>
            <sz val="11"/>
            <color theme="1"/>
            <rFont val="Calibri"/>
            <family val="2"/>
            <scheme val="minor"/>
          </rPr>
          <t>Introduzca la fecha prevista de adjudicación, en formato dd-mm-aaaa</t>
        </r>
      </text>
    </comment>
    <comment ref="F1216" authorId="2" shapeId="0" xr:uid="{BD5D7461-CA50-412C-82AC-0611CB889CEA}">
      <text/>
    </comment>
    <comment ref="F1217" authorId="2" shapeId="0" xr:uid="{DA763B8B-0A01-4179-921D-9BB60769A31B}">
      <text/>
    </comment>
    <comment ref="A1219" authorId="2" shapeId="0" xr:uid="{8C0D7DD9-1F9D-4519-BABB-0EE7EC39800F}">
      <text>
        <r>
          <rPr>
            <sz val="11"/>
            <color theme="1"/>
            <rFont val="Calibri"/>
            <family val="2"/>
            <scheme val="minor"/>
          </rPr>
          <t>Introduzca un codigo UNSPSC</t>
        </r>
      </text>
    </comment>
    <comment ref="B1219" authorId="2" shapeId="0" xr:uid="{D122CD50-C502-49C6-BC3A-4337620BF136}">
      <text>
        <r>
          <rPr>
            <sz val="11"/>
            <color theme="1"/>
            <rFont val="Calibri"/>
            <family val="2"/>
            <scheme val="minor"/>
          </rPr>
          <t>Descripción calculada automáticamente a partir de código del artículo</t>
        </r>
      </text>
    </comment>
    <comment ref="C1219" authorId="2" shapeId="0" xr:uid="{76AE9E59-8F97-49C1-B579-69BE9DA87D78}">
      <text>
        <r>
          <rPr>
            <sz val="11"/>
            <color theme="1"/>
            <rFont val="Calibri"/>
            <family val="2"/>
            <scheme val="minor"/>
          </rPr>
          <t>Seleccione un valor de la lista</t>
        </r>
      </text>
    </comment>
    <comment ref="D1219" authorId="2" shapeId="0" xr:uid="{D0710EF1-28D6-4A1C-9E50-434C1B7C80CD}">
      <text>
        <r>
          <rPr>
            <sz val="11"/>
            <color theme="1"/>
            <rFont val="Calibri"/>
            <family val="2"/>
            <scheme val="minor"/>
          </rPr>
          <t>Introduzca un número con dos decimales como máximo. Debe ser igual o mayor a la "Cantidad Real Consumida"</t>
        </r>
      </text>
    </comment>
    <comment ref="E1219" authorId="2" shapeId="0" xr:uid="{91ED8737-E8AD-4443-970C-DC1FD2B17350}">
      <text>
        <r>
          <rPr>
            <sz val="11"/>
            <color theme="1"/>
            <rFont val="Calibri"/>
            <family val="2"/>
            <scheme val="minor"/>
          </rPr>
          <t>Introduzca un número con dos decimales como máximo</t>
        </r>
      </text>
    </comment>
    <comment ref="F1219" authorId="2" shapeId="0" xr:uid="{FD4F0F9A-018B-4F7A-8632-65EBA2FBDB09}">
      <text>
        <r>
          <rPr>
            <sz val="11"/>
            <color theme="1"/>
            <rFont val="Calibri"/>
            <family val="2"/>
            <scheme val="minor"/>
          </rPr>
          <t>Monto calculado automáticamente por el sistema</t>
        </r>
      </text>
    </comment>
    <comment ref="A1225" authorId="2" shapeId="0" xr:uid="{FA4AED0D-2A98-4771-A046-049D5BD6D513}">
      <text>
        <r>
          <rPr>
            <sz val="11"/>
            <color theme="1"/>
            <rFont val="Calibri"/>
            <family val="2"/>
            <scheme val="minor"/>
          </rPr>
          <t>Introducir un texto con el nombre o referencia de la contratación</t>
        </r>
      </text>
    </comment>
    <comment ref="B1225" authorId="2" shapeId="0" xr:uid="{F296E495-8B97-4780-BB8A-1C9779408797}">
      <text>
        <r>
          <rPr>
            <sz val="11"/>
            <color theme="1"/>
            <rFont val="Calibri"/>
            <family val="2"/>
            <scheme val="minor"/>
          </rPr>
          <t>Introduzca un texto con la finalidad de la contratación</t>
        </r>
      </text>
    </comment>
    <comment ref="C1225" authorId="2" shapeId="0" xr:uid="{2E814CFA-FD3F-4392-9978-603C47B99738}">
      <text>
        <r>
          <rPr>
            <sz val="11"/>
            <color theme="1"/>
            <rFont val="Calibri"/>
            <family val="2"/>
            <scheme val="minor"/>
          </rPr>
          <t>Seleccionar un valor del listado</t>
        </r>
      </text>
    </comment>
    <comment ref="D1225" authorId="2" shapeId="0" xr:uid="{DABFA598-3A28-4487-A2C8-E3F99A652775}">
      <text>
        <r>
          <rPr>
            <sz val="11"/>
            <color theme="1"/>
            <rFont val="Calibri"/>
            <family val="2"/>
            <scheme val="minor"/>
          </rPr>
          <t>Seleccione el tipo de procedimiento</t>
        </r>
      </text>
    </comment>
    <comment ref="E1225" authorId="2" shapeId="0" xr:uid="{E3E93E65-638A-4933-98C9-32A601CF3F01}">
      <text>
        <r>
          <rPr>
            <sz val="11"/>
            <color theme="1"/>
            <rFont val="Calibri"/>
            <family val="2"/>
            <scheme val="minor"/>
          </rPr>
          <t>Seleccione un valor de la lista</t>
        </r>
      </text>
    </comment>
    <comment ref="F1225" authorId="2" shapeId="0" xr:uid="{6006BB7A-657B-4A4F-8AEF-273F6F016888}">
      <text>
        <r>
          <rPr>
            <sz val="11"/>
            <color theme="1"/>
            <rFont val="Calibri"/>
            <family val="2"/>
            <scheme val="minor"/>
          </rPr>
          <t>Introduzca el código SNIP</t>
        </r>
      </text>
    </comment>
    <comment ref="C1226" authorId="2" shapeId="0" xr:uid="{B87EB7EB-92BC-4753-90AC-FF0D148F2F71}">
      <text>
        <r>
          <rPr>
            <sz val="11"/>
            <color theme="1"/>
            <rFont val="Calibri"/>
            <family val="2"/>
            <scheme val="minor"/>
          </rPr>
          <t>Introduzca la fecha de inicio del proceso, en formato dd-mm-aaaa</t>
        </r>
      </text>
    </comment>
    <comment ref="F1226" authorId="2" shapeId="0" xr:uid="{9E65554B-8D87-4238-8222-58E291646E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xr:uid="{B5B8CBD4-BE05-4EB9-B7C4-930F98D0A588}">
      <text/>
    </comment>
    <comment ref="C1228" authorId="2" shapeId="0" xr:uid="{00F0EC18-4BA9-43A2-BBBF-510BA5C141F8}">
      <text>
        <r>
          <rPr>
            <sz val="11"/>
            <color theme="1"/>
            <rFont val="Calibri"/>
            <family val="2"/>
            <scheme val="minor"/>
          </rPr>
          <t>Introduzca la fecha prevista de adjudicación, en formato dd-mm-aaaa</t>
        </r>
      </text>
    </comment>
    <comment ref="F1228" authorId="2" shapeId="0" xr:uid="{5377BD6B-3615-4A71-B8A8-7446244E4365}">
      <text/>
    </comment>
    <comment ref="F1229" authorId="2" shapeId="0" xr:uid="{68361695-15A3-4157-ACD2-8FE1F0BE9DA2}">
      <text/>
    </comment>
    <comment ref="A1231" authorId="2" shapeId="0" xr:uid="{3F3EB145-04A2-449E-BA75-FA540DE1C0CF}">
      <text>
        <r>
          <rPr>
            <sz val="11"/>
            <color theme="1"/>
            <rFont val="Calibri"/>
            <family val="2"/>
            <scheme val="minor"/>
          </rPr>
          <t>Introduzca un codigo UNSPSC</t>
        </r>
      </text>
    </comment>
    <comment ref="B1231" authorId="2" shapeId="0" xr:uid="{677EA089-62AB-4A20-B3D0-43255B1CBF14}">
      <text>
        <r>
          <rPr>
            <sz val="11"/>
            <color theme="1"/>
            <rFont val="Calibri"/>
            <family val="2"/>
            <scheme val="minor"/>
          </rPr>
          <t>Descripción calculada automáticamente a partir de código del artículo</t>
        </r>
      </text>
    </comment>
    <comment ref="C1231" authorId="2" shapeId="0" xr:uid="{797D535C-5F2A-4C8B-A284-87504444C7F2}">
      <text>
        <r>
          <rPr>
            <sz val="11"/>
            <color theme="1"/>
            <rFont val="Calibri"/>
            <family val="2"/>
            <scheme val="minor"/>
          </rPr>
          <t>Seleccione un valor de la lista</t>
        </r>
      </text>
    </comment>
    <comment ref="D1231" authorId="2" shapeId="0" xr:uid="{3D1FB136-DBA6-4FD2-AA8B-10B8F8CD7A03}">
      <text>
        <r>
          <rPr>
            <sz val="11"/>
            <color theme="1"/>
            <rFont val="Calibri"/>
            <family val="2"/>
            <scheme val="minor"/>
          </rPr>
          <t>Introduzca un número con dos decimales como máximo. Debe ser igual o mayor a la "Cantidad Real Consumida"</t>
        </r>
      </text>
    </comment>
    <comment ref="E1231" authorId="2" shapeId="0" xr:uid="{6704AEAD-532F-407F-B79F-9B73CDD77EEE}">
      <text>
        <r>
          <rPr>
            <sz val="11"/>
            <color theme="1"/>
            <rFont val="Calibri"/>
            <family val="2"/>
            <scheme val="minor"/>
          </rPr>
          <t>Introduzca un número con dos decimales como máximo</t>
        </r>
      </text>
    </comment>
    <comment ref="F1231" authorId="2" shapeId="0" xr:uid="{CBCF7C69-6E16-40BF-BB62-1418AF46CDFC}">
      <text>
        <r>
          <rPr>
            <sz val="11"/>
            <color theme="1"/>
            <rFont val="Calibri"/>
            <family val="2"/>
            <scheme val="minor"/>
          </rPr>
          <t>Monto calculado automáticamente por el sistema</t>
        </r>
      </text>
    </comment>
    <comment ref="A1237" authorId="2" shapeId="0" xr:uid="{01D61DEE-849D-441A-AA13-605CA0BE535B}">
      <text>
        <r>
          <rPr>
            <sz val="11"/>
            <color theme="1"/>
            <rFont val="Calibri"/>
            <family val="2"/>
            <scheme val="minor"/>
          </rPr>
          <t>Introducir un texto con el nombre o referencia de la contratación</t>
        </r>
      </text>
    </comment>
    <comment ref="B1237" authorId="2" shapeId="0" xr:uid="{87CAD467-38FC-44A8-8AF7-E00FA6C5D520}">
      <text>
        <r>
          <rPr>
            <sz val="11"/>
            <color theme="1"/>
            <rFont val="Calibri"/>
            <family val="2"/>
            <scheme val="minor"/>
          </rPr>
          <t>Introduzca un texto con la finalidad de la contratación</t>
        </r>
      </text>
    </comment>
    <comment ref="C1237" authorId="2" shapeId="0" xr:uid="{0BBF69C1-27D1-481C-88C9-DD717F0257CD}">
      <text>
        <r>
          <rPr>
            <sz val="11"/>
            <color theme="1"/>
            <rFont val="Calibri"/>
            <family val="2"/>
            <scheme val="minor"/>
          </rPr>
          <t>Seleccionar un valor del listado</t>
        </r>
      </text>
    </comment>
    <comment ref="D1237" authorId="2" shapeId="0" xr:uid="{029287CA-4A4A-4166-B99F-B343B6FBEBFD}">
      <text>
        <r>
          <rPr>
            <sz val="11"/>
            <color theme="1"/>
            <rFont val="Calibri"/>
            <family val="2"/>
            <scheme val="minor"/>
          </rPr>
          <t>Seleccione el tipo de procedimiento</t>
        </r>
      </text>
    </comment>
    <comment ref="E1237" authorId="2" shapeId="0" xr:uid="{CA5BB55E-5D9A-4A17-B9AD-005B8D0F0D57}">
      <text>
        <r>
          <rPr>
            <sz val="11"/>
            <color theme="1"/>
            <rFont val="Calibri"/>
            <family val="2"/>
            <scheme val="minor"/>
          </rPr>
          <t>Seleccione un valor de la lista</t>
        </r>
      </text>
    </comment>
    <comment ref="F1237" authorId="2" shapeId="0" xr:uid="{B4A2A83C-8E8A-48F8-8958-591E73C3C186}">
      <text>
        <r>
          <rPr>
            <sz val="11"/>
            <color theme="1"/>
            <rFont val="Calibri"/>
            <family val="2"/>
            <scheme val="minor"/>
          </rPr>
          <t>Introduzca el código SNIP</t>
        </r>
      </text>
    </comment>
    <comment ref="C1238" authorId="2" shapeId="0" xr:uid="{D8D1FE07-FC7F-4FD7-8F0F-828D141365E8}">
      <text>
        <r>
          <rPr>
            <sz val="11"/>
            <color theme="1"/>
            <rFont val="Calibri"/>
            <family val="2"/>
            <scheme val="minor"/>
          </rPr>
          <t>Introduzca la fecha de inicio del proceso, en formato dd-mm-aaaa</t>
        </r>
      </text>
    </comment>
    <comment ref="F1238" authorId="2" shapeId="0" xr:uid="{406F3ABC-E34C-4073-ADA4-0AFD651B74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2" shapeId="0" xr:uid="{1AE9F056-F50A-4EC9-97A4-A3D219FF529B}">
      <text/>
    </comment>
    <comment ref="C1240" authorId="2" shapeId="0" xr:uid="{A8085734-90E2-47A5-9049-34AF3CFDBF38}">
      <text>
        <r>
          <rPr>
            <sz val="11"/>
            <color theme="1"/>
            <rFont val="Calibri"/>
            <family val="2"/>
            <scheme val="minor"/>
          </rPr>
          <t>Introduzca la fecha prevista de adjudicación, en formato dd-mm-aaaa</t>
        </r>
      </text>
    </comment>
    <comment ref="F1240" authorId="2" shapeId="0" xr:uid="{D4902C9F-FEE9-41F3-8483-C59BD991F85A}">
      <text/>
    </comment>
    <comment ref="F1241" authorId="2" shapeId="0" xr:uid="{92D98117-D1E8-4377-B328-C07E8B53158D}">
      <text/>
    </comment>
    <comment ref="A1243" authorId="2" shapeId="0" xr:uid="{E790C766-E995-413D-8F82-E85616DCFC62}">
      <text>
        <r>
          <rPr>
            <sz val="11"/>
            <color theme="1"/>
            <rFont val="Calibri"/>
            <family val="2"/>
            <scheme val="minor"/>
          </rPr>
          <t>Introduzca un codigo UNSPSC</t>
        </r>
      </text>
    </comment>
    <comment ref="B1243" authorId="2" shapeId="0" xr:uid="{53A27583-6A39-4DDA-AD22-67D2B76B4ABE}">
      <text>
        <r>
          <rPr>
            <sz val="11"/>
            <color theme="1"/>
            <rFont val="Calibri"/>
            <family val="2"/>
            <scheme val="minor"/>
          </rPr>
          <t>Descripción calculada automáticamente a partir de código del artículo</t>
        </r>
      </text>
    </comment>
    <comment ref="C1243" authorId="2" shapeId="0" xr:uid="{B42E4542-00CC-4FD7-A371-506469071E9F}">
      <text>
        <r>
          <rPr>
            <sz val="11"/>
            <color theme="1"/>
            <rFont val="Calibri"/>
            <family val="2"/>
            <scheme val="minor"/>
          </rPr>
          <t>Seleccione un valor de la lista</t>
        </r>
      </text>
    </comment>
    <comment ref="D1243" authorId="2" shapeId="0" xr:uid="{7CB636AF-CC32-466A-93A3-9D34D498D29C}">
      <text>
        <r>
          <rPr>
            <sz val="11"/>
            <color theme="1"/>
            <rFont val="Calibri"/>
            <family val="2"/>
            <scheme val="minor"/>
          </rPr>
          <t>Introduzca un número con dos decimales como máximo. Debe ser igual o mayor a la "Cantidad Real Consumida"</t>
        </r>
      </text>
    </comment>
    <comment ref="E1243" authorId="2" shapeId="0" xr:uid="{71AC9712-89FF-43BD-902E-15918EDAAD65}">
      <text>
        <r>
          <rPr>
            <sz val="11"/>
            <color theme="1"/>
            <rFont val="Calibri"/>
            <family val="2"/>
            <scheme val="minor"/>
          </rPr>
          <t>Introduzca un número con dos decimales como máximo</t>
        </r>
      </text>
    </comment>
    <comment ref="F1243" authorId="2" shapeId="0" xr:uid="{51183D8B-BCDF-4B18-A278-F6D28666EF53}">
      <text>
        <r>
          <rPr>
            <sz val="11"/>
            <color theme="1"/>
            <rFont val="Calibri"/>
            <family val="2"/>
            <scheme val="minor"/>
          </rPr>
          <t>Monto calculado automáticamente por el sistema</t>
        </r>
      </text>
    </comment>
    <comment ref="A1249" authorId="2" shapeId="0" xr:uid="{6DCED14D-7546-4E33-85D3-3FC6B018F2EF}">
      <text>
        <r>
          <rPr>
            <sz val="11"/>
            <color theme="1"/>
            <rFont val="Calibri"/>
            <family val="2"/>
            <scheme val="minor"/>
          </rPr>
          <t>Introducir un texto con el nombre o referencia de la contratación</t>
        </r>
      </text>
    </comment>
    <comment ref="B1249" authorId="2" shapeId="0" xr:uid="{81A4259B-82C6-4228-B719-D9DE4A0958A2}">
      <text>
        <r>
          <rPr>
            <sz val="11"/>
            <color theme="1"/>
            <rFont val="Calibri"/>
            <family val="2"/>
            <scheme val="minor"/>
          </rPr>
          <t>Introduzca un texto con la finalidad de la contratación</t>
        </r>
      </text>
    </comment>
    <comment ref="C1249" authorId="2" shapeId="0" xr:uid="{52C9DE33-358A-436C-8B88-82789F6C7314}">
      <text>
        <r>
          <rPr>
            <sz val="11"/>
            <color theme="1"/>
            <rFont val="Calibri"/>
            <family val="2"/>
            <scheme val="minor"/>
          </rPr>
          <t>Seleccionar un valor del listado</t>
        </r>
      </text>
    </comment>
    <comment ref="D1249" authorId="2" shapeId="0" xr:uid="{7D4C7E45-4719-4C96-8B38-107074A02B7E}">
      <text>
        <r>
          <rPr>
            <sz val="11"/>
            <color theme="1"/>
            <rFont val="Calibri"/>
            <family val="2"/>
            <scheme val="minor"/>
          </rPr>
          <t>Seleccione el tipo de procedimiento</t>
        </r>
      </text>
    </comment>
    <comment ref="E1249" authorId="2" shapeId="0" xr:uid="{FD334F18-BD7C-40B5-A5CE-14FE3C95B5A0}">
      <text>
        <r>
          <rPr>
            <sz val="11"/>
            <color theme="1"/>
            <rFont val="Calibri"/>
            <family val="2"/>
            <scheme val="minor"/>
          </rPr>
          <t>Seleccione un valor de la lista</t>
        </r>
      </text>
    </comment>
    <comment ref="F1249" authorId="2" shapeId="0" xr:uid="{EE21309A-E745-4CDE-9DCB-0DB774414021}">
      <text>
        <r>
          <rPr>
            <sz val="11"/>
            <color theme="1"/>
            <rFont val="Calibri"/>
            <family val="2"/>
            <scheme val="minor"/>
          </rPr>
          <t>Introduzca el código SNIP</t>
        </r>
      </text>
    </comment>
    <comment ref="C1250" authorId="2" shapeId="0" xr:uid="{153941BA-254E-4666-BF29-1DEFA994BA40}">
      <text>
        <r>
          <rPr>
            <sz val="11"/>
            <color theme="1"/>
            <rFont val="Calibri"/>
            <family val="2"/>
            <scheme val="minor"/>
          </rPr>
          <t>Introduzca la fecha de inicio del proceso, en formato dd-mm-aaaa</t>
        </r>
      </text>
    </comment>
    <comment ref="F1250" authorId="2" shapeId="0" xr:uid="{D2EF3A9E-6E70-476E-9BBF-7BFCAF5F0C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2" shapeId="0" xr:uid="{BF14E270-821E-4CCB-8966-F0A7157AC26D}">
      <text/>
    </comment>
    <comment ref="C1252" authorId="2" shapeId="0" xr:uid="{6F02AEDD-768A-4BA4-9AC6-6AEE3D19FB77}">
      <text>
        <r>
          <rPr>
            <sz val="11"/>
            <color theme="1"/>
            <rFont val="Calibri"/>
            <family val="2"/>
            <scheme val="minor"/>
          </rPr>
          <t>Introduzca la fecha prevista de adjudicación, en formato dd-mm-aaaa</t>
        </r>
      </text>
    </comment>
    <comment ref="F1252" authorId="2" shapeId="0" xr:uid="{37A4EBF3-DFA0-441E-B20A-D91BD4227313}">
      <text/>
    </comment>
    <comment ref="F1253" authorId="2" shapeId="0" xr:uid="{A40AF4B8-D386-486B-B800-E56A8B31A76F}">
      <text/>
    </comment>
    <comment ref="A1255" authorId="2" shapeId="0" xr:uid="{F3E83BA1-0E93-402B-B45B-9632481D0342}">
      <text>
        <r>
          <rPr>
            <sz val="11"/>
            <color theme="1"/>
            <rFont val="Calibri"/>
            <family val="2"/>
            <scheme val="minor"/>
          </rPr>
          <t>Introduzca un codigo UNSPSC</t>
        </r>
      </text>
    </comment>
    <comment ref="B1255" authorId="2" shapeId="0" xr:uid="{DBDF2845-F1A7-4128-9089-2C2AFB8785DC}">
      <text>
        <r>
          <rPr>
            <sz val="11"/>
            <color theme="1"/>
            <rFont val="Calibri"/>
            <family val="2"/>
            <scheme val="minor"/>
          </rPr>
          <t>Descripción calculada automáticamente a partir de código del artículo</t>
        </r>
      </text>
    </comment>
    <comment ref="C1255" authorId="2" shapeId="0" xr:uid="{FC70FECF-E2C1-4251-9BAA-D84DDD2E39ED}">
      <text>
        <r>
          <rPr>
            <sz val="11"/>
            <color theme="1"/>
            <rFont val="Calibri"/>
            <family val="2"/>
            <scheme val="minor"/>
          </rPr>
          <t>Seleccione un valor de la lista</t>
        </r>
      </text>
    </comment>
    <comment ref="D1255" authorId="2" shapeId="0" xr:uid="{82570DA6-A00A-44BF-91A7-95FDDA10774F}">
      <text>
        <r>
          <rPr>
            <sz val="11"/>
            <color theme="1"/>
            <rFont val="Calibri"/>
            <family val="2"/>
            <scheme val="minor"/>
          </rPr>
          <t>Introduzca un número con dos decimales como máximo. Debe ser igual o mayor a la "Cantidad Real Consumida"</t>
        </r>
      </text>
    </comment>
    <comment ref="E1255" authorId="2" shapeId="0" xr:uid="{A60856C7-B935-4685-8322-19987C7028E5}">
      <text>
        <r>
          <rPr>
            <sz val="11"/>
            <color theme="1"/>
            <rFont val="Calibri"/>
            <family val="2"/>
            <scheme val="minor"/>
          </rPr>
          <t>Introduzca un número con dos decimales como máximo</t>
        </r>
      </text>
    </comment>
    <comment ref="F1255" authorId="2" shapeId="0" xr:uid="{466911AE-F68D-479B-A9B4-8A842DCD959B}">
      <text>
        <r>
          <rPr>
            <sz val="11"/>
            <color theme="1"/>
            <rFont val="Calibri"/>
            <family val="2"/>
            <scheme val="minor"/>
          </rPr>
          <t>Monto calculado automáticamente por el sistema</t>
        </r>
      </text>
    </comment>
    <comment ref="A1261" authorId="2" shapeId="0" xr:uid="{BFB9E07F-D50A-4B30-9BD0-0BAD6909E9FF}">
      <text>
        <r>
          <rPr>
            <sz val="11"/>
            <color theme="1"/>
            <rFont val="Calibri"/>
            <family val="2"/>
            <scheme val="minor"/>
          </rPr>
          <t>Introducir un texto con el nombre o referencia de la contratación</t>
        </r>
      </text>
    </comment>
    <comment ref="B1261" authorId="2" shapeId="0" xr:uid="{5F4A6796-ED9A-438C-B78F-019D691E344B}">
      <text>
        <r>
          <rPr>
            <sz val="11"/>
            <color theme="1"/>
            <rFont val="Calibri"/>
            <family val="2"/>
            <scheme val="minor"/>
          </rPr>
          <t>Introduzca un texto con la finalidad de la contratación</t>
        </r>
      </text>
    </comment>
    <comment ref="C1261" authorId="2" shapeId="0" xr:uid="{8282C7DB-A990-4FBA-A8D6-B67658F34261}">
      <text>
        <r>
          <rPr>
            <sz val="11"/>
            <color theme="1"/>
            <rFont val="Calibri"/>
            <family val="2"/>
            <scheme val="minor"/>
          </rPr>
          <t>Seleccionar un valor del listado</t>
        </r>
      </text>
    </comment>
    <comment ref="D1261" authorId="2" shapeId="0" xr:uid="{1792C3D5-04EE-4B8E-8DCF-766A85CE0A21}">
      <text>
        <r>
          <rPr>
            <sz val="11"/>
            <color theme="1"/>
            <rFont val="Calibri"/>
            <family val="2"/>
            <scheme val="minor"/>
          </rPr>
          <t>Seleccione el tipo de procedimiento</t>
        </r>
      </text>
    </comment>
    <comment ref="E1261" authorId="2" shapeId="0" xr:uid="{4B3702B8-B544-4CBF-A212-ECAAA1002CA5}">
      <text>
        <r>
          <rPr>
            <sz val="11"/>
            <color theme="1"/>
            <rFont val="Calibri"/>
            <family val="2"/>
            <scheme val="minor"/>
          </rPr>
          <t>Seleccione un valor de la lista</t>
        </r>
      </text>
    </comment>
    <comment ref="F1261" authorId="2" shapeId="0" xr:uid="{0A884C7B-1ACF-4416-947C-43D9AC2C4F69}">
      <text>
        <r>
          <rPr>
            <sz val="11"/>
            <color theme="1"/>
            <rFont val="Calibri"/>
            <family val="2"/>
            <scheme val="minor"/>
          </rPr>
          <t>Introduzca el código SNIP</t>
        </r>
      </text>
    </comment>
    <comment ref="C1262" authorId="2" shapeId="0" xr:uid="{7A161B6F-52C5-41D6-992F-72A06B124B0B}">
      <text>
        <r>
          <rPr>
            <sz val="11"/>
            <color theme="1"/>
            <rFont val="Calibri"/>
            <family val="2"/>
            <scheme val="minor"/>
          </rPr>
          <t>Introduzca la fecha de inicio del proceso, en formato dd-mm-aaaa</t>
        </r>
      </text>
    </comment>
    <comment ref="F1262" authorId="2" shapeId="0" xr:uid="{07D5EB39-DD81-443F-9A7F-C8FC152086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xr:uid="{104BFCBB-BF9A-4643-8174-90CDDE6ABDC0}">
      <text/>
    </comment>
    <comment ref="C1264" authorId="2" shapeId="0" xr:uid="{B47B78C9-CB96-40DE-8585-2F1D06220EAF}">
      <text>
        <r>
          <rPr>
            <sz val="11"/>
            <color theme="1"/>
            <rFont val="Calibri"/>
            <family val="2"/>
            <scheme val="minor"/>
          </rPr>
          <t>Introduzca la fecha prevista de adjudicación, en formato dd-mm-aaaa</t>
        </r>
      </text>
    </comment>
    <comment ref="F1264" authorId="2" shapeId="0" xr:uid="{20A6C396-C22A-49EB-9E73-91649AF452A7}">
      <text/>
    </comment>
    <comment ref="F1265" authorId="2" shapeId="0" xr:uid="{2B3BA154-1F1D-4661-971F-6DA46F4EB587}">
      <text/>
    </comment>
    <comment ref="A1267" authorId="2" shapeId="0" xr:uid="{CD65646C-4635-4CB8-9D9D-1D54667D5A4C}">
      <text>
        <r>
          <rPr>
            <sz val="11"/>
            <color theme="1"/>
            <rFont val="Calibri"/>
            <family val="2"/>
            <scheme val="minor"/>
          </rPr>
          <t>Introduzca un codigo UNSPSC</t>
        </r>
      </text>
    </comment>
    <comment ref="B1267" authorId="2" shapeId="0" xr:uid="{69C08407-D0EF-48B0-B368-DE85D334E28E}">
      <text>
        <r>
          <rPr>
            <sz val="11"/>
            <color theme="1"/>
            <rFont val="Calibri"/>
            <family val="2"/>
            <scheme val="minor"/>
          </rPr>
          <t>Descripción calculada automáticamente a partir de código del artículo</t>
        </r>
      </text>
    </comment>
    <comment ref="C1267" authorId="2" shapeId="0" xr:uid="{09637CFC-A5FB-4CAA-AF53-F5695603DDC4}">
      <text>
        <r>
          <rPr>
            <sz val="11"/>
            <color theme="1"/>
            <rFont val="Calibri"/>
            <family val="2"/>
            <scheme val="minor"/>
          </rPr>
          <t>Seleccione un valor de la lista</t>
        </r>
      </text>
    </comment>
    <comment ref="D1267" authorId="2" shapeId="0" xr:uid="{5093F34C-071D-4C95-893C-387F387660FB}">
      <text>
        <r>
          <rPr>
            <sz val="11"/>
            <color theme="1"/>
            <rFont val="Calibri"/>
            <family val="2"/>
            <scheme val="minor"/>
          </rPr>
          <t>Introduzca un número con dos decimales como máximo. Debe ser igual o mayor a la "Cantidad Real Consumida"</t>
        </r>
      </text>
    </comment>
    <comment ref="E1267" authorId="2" shapeId="0" xr:uid="{980A1710-13F3-4D51-915B-CAF041C2509A}">
      <text>
        <r>
          <rPr>
            <sz val="11"/>
            <color theme="1"/>
            <rFont val="Calibri"/>
            <family val="2"/>
            <scheme val="minor"/>
          </rPr>
          <t>Introduzca un número con dos decimales como máximo</t>
        </r>
      </text>
    </comment>
    <comment ref="F1267" authorId="2" shapeId="0" xr:uid="{B1C8867C-5F85-4A0B-82D4-1FF674400702}">
      <text>
        <r>
          <rPr>
            <sz val="11"/>
            <color theme="1"/>
            <rFont val="Calibri"/>
            <family val="2"/>
            <scheme val="minor"/>
          </rPr>
          <t>Monto calculado automáticamente por el sistema</t>
        </r>
      </text>
    </comment>
    <comment ref="A1272" authorId="2" shapeId="0" xr:uid="{3F992484-705F-4096-A8C9-3311E42C00D2}">
      <text>
        <r>
          <rPr>
            <sz val="11"/>
            <color theme="1"/>
            <rFont val="Calibri"/>
            <family val="2"/>
            <scheme val="minor"/>
          </rPr>
          <t>Introducir un texto con el nombre o referencia de la contratación</t>
        </r>
      </text>
    </comment>
    <comment ref="B1272" authorId="2" shapeId="0" xr:uid="{C5F4EC5D-D920-4482-A93A-2244BCAEF9B1}">
      <text>
        <r>
          <rPr>
            <sz val="11"/>
            <color theme="1"/>
            <rFont val="Calibri"/>
            <family val="2"/>
            <scheme val="minor"/>
          </rPr>
          <t>Introduzca un texto con la finalidad de la contratación</t>
        </r>
      </text>
    </comment>
    <comment ref="C1272" authorId="2" shapeId="0" xr:uid="{D0ADE31D-3EE6-4779-854D-08E18EF6119B}">
      <text>
        <r>
          <rPr>
            <sz val="11"/>
            <color theme="1"/>
            <rFont val="Calibri"/>
            <family val="2"/>
            <scheme val="minor"/>
          </rPr>
          <t>Seleccionar un valor del listado</t>
        </r>
      </text>
    </comment>
    <comment ref="D1272" authorId="2" shapeId="0" xr:uid="{0B748761-6189-47F0-8139-A5CA15E47608}">
      <text>
        <r>
          <rPr>
            <sz val="11"/>
            <color theme="1"/>
            <rFont val="Calibri"/>
            <family val="2"/>
            <scheme val="minor"/>
          </rPr>
          <t>Seleccione el tipo de procedimiento</t>
        </r>
      </text>
    </comment>
    <comment ref="E1272" authorId="2" shapeId="0" xr:uid="{91182FBE-951C-4E04-9A27-0375FB5893C2}">
      <text>
        <r>
          <rPr>
            <sz val="11"/>
            <color theme="1"/>
            <rFont val="Calibri"/>
            <family val="2"/>
            <scheme val="minor"/>
          </rPr>
          <t>Seleccione un valor de la lista</t>
        </r>
      </text>
    </comment>
    <comment ref="F1272" authorId="2" shapeId="0" xr:uid="{60FB97E4-9282-40F3-9950-EDAAEED14B2A}">
      <text>
        <r>
          <rPr>
            <sz val="11"/>
            <color theme="1"/>
            <rFont val="Calibri"/>
            <family val="2"/>
            <scheme val="minor"/>
          </rPr>
          <t>Introduzca el código SNIP</t>
        </r>
      </text>
    </comment>
    <comment ref="C1273" authorId="2" shapeId="0" xr:uid="{1AC73230-569D-40D2-9838-3DD625DFE751}">
      <text>
        <r>
          <rPr>
            <sz val="11"/>
            <color theme="1"/>
            <rFont val="Calibri"/>
            <family val="2"/>
            <scheme val="minor"/>
          </rPr>
          <t>Introduzca la fecha de inicio del proceso, en formato dd-mm-aaaa</t>
        </r>
      </text>
    </comment>
    <comment ref="F1273" authorId="2" shapeId="0" xr:uid="{D395311C-B9F6-4B39-8159-378E470E89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2" shapeId="0" xr:uid="{0AB51095-EA96-41D2-B95D-1C9F7121CD8E}">
      <text/>
    </comment>
    <comment ref="C1275" authorId="2" shapeId="0" xr:uid="{45296839-1F8A-42C5-9BF3-845895ABADA9}">
      <text>
        <r>
          <rPr>
            <sz val="11"/>
            <color theme="1"/>
            <rFont val="Calibri"/>
            <family val="2"/>
            <scheme val="minor"/>
          </rPr>
          <t>Introduzca la fecha prevista de adjudicación, en formato dd-mm-aaaa</t>
        </r>
      </text>
    </comment>
    <comment ref="F1275" authorId="2" shapeId="0" xr:uid="{80ECF7C6-E5D2-4C8E-B8EE-7C456B616D15}">
      <text/>
    </comment>
    <comment ref="F1276" authorId="2" shapeId="0" xr:uid="{01A6A7B6-5CD6-41AC-BC4D-AC9CE37A65F0}">
      <text/>
    </comment>
    <comment ref="A1278" authorId="2" shapeId="0" xr:uid="{0EE01CE0-C409-457A-8224-A69AF40CAD3D}">
      <text>
        <r>
          <rPr>
            <sz val="11"/>
            <color theme="1"/>
            <rFont val="Calibri"/>
            <family val="2"/>
            <scheme val="minor"/>
          </rPr>
          <t>Introduzca un codigo UNSPSC</t>
        </r>
      </text>
    </comment>
    <comment ref="B1278" authorId="2" shapeId="0" xr:uid="{745CF7AB-4DB8-462F-BFBE-3A1FCFAA9FF9}">
      <text>
        <r>
          <rPr>
            <sz val="11"/>
            <color theme="1"/>
            <rFont val="Calibri"/>
            <family val="2"/>
            <scheme val="minor"/>
          </rPr>
          <t>Descripción calculada automáticamente a partir de código del artículo</t>
        </r>
      </text>
    </comment>
    <comment ref="C1278" authorId="2" shapeId="0" xr:uid="{A99258DE-4619-4C18-8B7C-98E33AD5DE3E}">
      <text>
        <r>
          <rPr>
            <sz val="11"/>
            <color theme="1"/>
            <rFont val="Calibri"/>
            <family val="2"/>
            <scheme val="minor"/>
          </rPr>
          <t>Seleccione un valor de la lista</t>
        </r>
      </text>
    </comment>
    <comment ref="D1278" authorId="2" shapeId="0" xr:uid="{B133CC1A-74CC-4EFE-BE0A-5C9847CC8A55}">
      <text>
        <r>
          <rPr>
            <sz val="11"/>
            <color theme="1"/>
            <rFont val="Calibri"/>
            <family val="2"/>
            <scheme val="minor"/>
          </rPr>
          <t>Introduzca un número con dos decimales como máximo. Debe ser igual o mayor a la "Cantidad Real Consumida"</t>
        </r>
      </text>
    </comment>
    <comment ref="E1278" authorId="2" shapeId="0" xr:uid="{3706B889-1008-4725-94FB-A5516015692E}">
      <text>
        <r>
          <rPr>
            <sz val="11"/>
            <color theme="1"/>
            <rFont val="Calibri"/>
            <family val="2"/>
            <scheme val="minor"/>
          </rPr>
          <t>Introduzca un número con dos decimales como máximo</t>
        </r>
      </text>
    </comment>
    <comment ref="F1278" authorId="2" shapeId="0" xr:uid="{422DCB0B-E2E2-4016-9FEA-1FB92F8C50B9}">
      <text>
        <r>
          <rPr>
            <sz val="11"/>
            <color theme="1"/>
            <rFont val="Calibri"/>
            <family val="2"/>
            <scheme val="minor"/>
          </rPr>
          <t>Monto calculado automáticamente por el sistema</t>
        </r>
      </text>
    </comment>
    <comment ref="A1283" authorId="2" shapeId="0" xr:uid="{75D19438-93D8-45BA-872C-9DDA9754574D}">
      <text>
        <r>
          <rPr>
            <sz val="11"/>
            <color theme="1"/>
            <rFont val="Calibri"/>
            <family val="2"/>
            <scheme val="minor"/>
          </rPr>
          <t>Introducir un texto con el nombre o referencia de la contratación</t>
        </r>
      </text>
    </comment>
    <comment ref="B1283" authorId="2" shapeId="0" xr:uid="{4E538D84-CC65-4E1D-B6C0-F7060A1E8D8E}">
      <text>
        <r>
          <rPr>
            <sz val="11"/>
            <color theme="1"/>
            <rFont val="Calibri"/>
            <family val="2"/>
            <scheme val="minor"/>
          </rPr>
          <t>Introduzca un texto con la finalidad de la contratación</t>
        </r>
      </text>
    </comment>
    <comment ref="C1283" authorId="2" shapeId="0" xr:uid="{DA499EE2-4195-418C-8FB7-07D6CDAC3B71}">
      <text>
        <r>
          <rPr>
            <sz val="11"/>
            <color theme="1"/>
            <rFont val="Calibri"/>
            <family val="2"/>
            <scheme val="minor"/>
          </rPr>
          <t>Seleccionar un valor del listado</t>
        </r>
      </text>
    </comment>
    <comment ref="D1283" authorId="2" shapeId="0" xr:uid="{9AB9C955-C673-4770-8AE6-4FA2740F7F0F}">
      <text>
        <r>
          <rPr>
            <sz val="11"/>
            <color theme="1"/>
            <rFont val="Calibri"/>
            <family val="2"/>
            <scheme val="minor"/>
          </rPr>
          <t>Seleccione el tipo de procedimiento</t>
        </r>
      </text>
    </comment>
    <comment ref="E1283" authorId="2" shapeId="0" xr:uid="{AD0761CC-48A7-4FED-A227-A608AB4958FD}">
      <text>
        <r>
          <rPr>
            <sz val="11"/>
            <color theme="1"/>
            <rFont val="Calibri"/>
            <family val="2"/>
            <scheme val="minor"/>
          </rPr>
          <t>Seleccione un valor de la lista</t>
        </r>
      </text>
    </comment>
    <comment ref="F1283" authorId="2" shapeId="0" xr:uid="{43E66CA2-4CB2-4282-BFE2-8C225D3E8E0A}">
      <text>
        <r>
          <rPr>
            <sz val="11"/>
            <color theme="1"/>
            <rFont val="Calibri"/>
            <family val="2"/>
            <scheme val="minor"/>
          </rPr>
          <t>Introduzca el código SNIP</t>
        </r>
      </text>
    </comment>
    <comment ref="C1284" authorId="2" shapeId="0" xr:uid="{CB806B99-AAEE-474C-94BA-75FB02CEF145}">
      <text>
        <r>
          <rPr>
            <sz val="11"/>
            <color theme="1"/>
            <rFont val="Calibri"/>
            <family val="2"/>
            <scheme val="minor"/>
          </rPr>
          <t>Introduzca la fecha de inicio del proceso, en formato dd-mm-aaaa</t>
        </r>
      </text>
    </comment>
    <comment ref="F1284" authorId="2" shapeId="0" xr:uid="{13C877A8-50A4-426C-86F5-C1656AE5A6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2" shapeId="0" xr:uid="{F21BA847-690E-46E9-BF16-F834A3A21438}">
      <text/>
    </comment>
    <comment ref="C1286" authorId="2" shapeId="0" xr:uid="{7544B9D0-6A2E-4093-84A9-D9F6F0CD975A}">
      <text>
        <r>
          <rPr>
            <sz val="11"/>
            <color theme="1"/>
            <rFont val="Calibri"/>
            <family val="2"/>
            <scheme val="minor"/>
          </rPr>
          <t>Introduzca la fecha prevista de adjudicación, en formato dd-mm-aaaa</t>
        </r>
      </text>
    </comment>
    <comment ref="F1286" authorId="2" shapeId="0" xr:uid="{9D77B42D-1AF7-41DD-A6FA-2D7C3173EAB4}">
      <text/>
    </comment>
    <comment ref="F1287" authorId="2" shapeId="0" xr:uid="{8163DA2B-05F4-4FA5-B5E1-C5EDA27D9ADC}">
      <text/>
    </comment>
    <comment ref="A1289" authorId="2" shapeId="0" xr:uid="{5507CF0E-CC21-4376-B51B-422CFEB9DD67}">
      <text>
        <r>
          <rPr>
            <sz val="11"/>
            <color theme="1"/>
            <rFont val="Calibri"/>
            <family val="2"/>
            <scheme val="minor"/>
          </rPr>
          <t>Introduzca un codigo UNSPSC</t>
        </r>
      </text>
    </comment>
    <comment ref="B1289" authorId="2" shapeId="0" xr:uid="{2323DC85-97DB-4430-B701-3F80C999188A}">
      <text>
        <r>
          <rPr>
            <sz val="11"/>
            <color theme="1"/>
            <rFont val="Calibri"/>
            <family val="2"/>
            <scheme val="minor"/>
          </rPr>
          <t>Descripción calculada automáticamente a partir de código del artículo</t>
        </r>
      </text>
    </comment>
    <comment ref="C1289" authorId="2" shapeId="0" xr:uid="{118D4E9E-E0CA-486B-B5BF-EDB8FAABF991}">
      <text>
        <r>
          <rPr>
            <sz val="11"/>
            <color theme="1"/>
            <rFont val="Calibri"/>
            <family val="2"/>
            <scheme val="minor"/>
          </rPr>
          <t>Seleccione un valor de la lista</t>
        </r>
      </text>
    </comment>
    <comment ref="D1289" authorId="2" shapeId="0" xr:uid="{5D8B1AA6-C8F8-4A3D-B737-04F2F742056A}">
      <text>
        <r>
          <rPr>
            <sz val="11"/>
            <color theme="1"/>
            <rFont val="Calibri"/>
            <family val="2"/>
            <scheme val="minor"/>
          </rPr>
          <t>Introduzca un número con dos decimales como máximo. Debe ser igual o mayor a la "Cantidad Real Consumida"</t>
        </r>
      </text>
    </comment>
    <comment ref="E1289" authorId="2" shapeId="0" xr:uid="{ABAF14D3-DB33-43A3-8578-79E655D9A23F}">
      <text>
        <r>
          <rPr>
            <sz val="11"/>
            <color theme="1"/>
            <rFont val="Calibri"/>
            <family val="2"/>
            <scheme val="minor"/>
          </rPr>
          <t>Introduzca un número con dos decimales como máximo</t>
        </r>
      </text>
    </comment>
    <comment ref="F1289" authorId="2" shapeId="0" xr:uid="{B47FB801-1606-4EE0-BD73-898D99E9933C}">
      <text>
        <r>
          <rPr>
            <sz val="11"/>
            <color theme="1"/>
            <rFont val="Calibri"/>
            <family val="2"/>
            <scheme val="minor"/>
          </rPr>
          <t>Monto calculado automáticamente por el sistema</t>
        </r>
      </text>
    </comment>
    <comment ref="A1294" authorId="2" shapeId="0" xr:uid="{D5B0A27A-AA84-479D-8610-406D95C842A4}">
      <text>
        <r>
          <rPr>
            <sz val="11"/>
            <color theme="1"/>
            <rFont val="Calibri"/>
            <family val="2"/>
            <scheme val="minor"/>
          </rPr>
          <t>Introducir un texto con el nombre o referencia de la contratación</t>
        </r>
      </text>
    </comment>
    <comment ref="B1294" authorId="2" shapeId="0" xr:uid="{2CF883BA-97E1-4054-8216-0F5417448752}">
      <text>
        <r>
          <rPr>
            <sz val="11"/>
            <color theme="1"/>
            <rFont val="Calibri"/>
            <family val="2"/>
            <scheme val="minor"/>
          </rPr>
          <t>Introduzca un texto con la finalidad de la contratación</t>
        </r>
      </text>
    </comment>
    <comment ref="C1294" authorId="2" shapeId="0" xr:uid="{824BE577-9825-4700-B4F5-92810B0F726F}">
      <text>
        <r>
          <rPr>
            <sz val="11"/>
            <color theme="1"/>
            <rFont val="Calibri"/>
            <family val="2"/>
            <scheme val="minor"/>
          </rPr>
          <t>Seleccionar un valor del listado</t>
        </r>
      </text>
    </comment>
    <comment ref="D1294" authorId="2" shapeId="0" xr:uid="{5D132EC0-74FB-4057-A6AF-18562D3F3D34}">
      <text>
        <r>
          <rPr>
            <sz val="11"/>
            <color theme="1"/>
            <rFont val="Calibri"/>
            <family val="2"/>
            <scheme val="minor"/>
          </rPr>
          <t>Seleccione el tipo de procedimiento</t>
        </r>
      </text>
    </comment>
    <comment ref="E1294" authorId="2" shapeId="0" xr:uid="{67430E91-FEE9-4BD0-A8EE-A8A2E5D81772}">
      <text>
        <r>
          <rPr>
            <sz val="11"/>
            <color theme="1"/>
            <rFont val="Calibri"/>
            <family val="2"/>
            <scheme val="minor"/>
          </rPr>
          <t>Seleccione un valor de la lista</t>
        </r>
      </text>
    </comment>
    <comment ref="F1294" authorId="2" shapeId="0" xr:uid="{9FDCF500-0134-4C3F-9B72-AF2A46E5D2E7}">
      <text>
        <r>
          <rPr>
            <sz val="11"/>
            <color theme="1"/>
            <rFont val="Calibri"/>
            <family val="2"/>
            <scheme val="minor"/>
          </rPr>
          <t>Introduzca el código SNIP</t>
        </r>
      </text>
    </comment>
    <comment ref="C1295" authorId="2" shapeId="0" xr:uid="{D7FA1EAE-8B7F-46A9-BDD5-DC01448A4AFD}">
      <text>
        <r>
          <rPr>
            <sz val="11"/>
            <color theme="1"/>
            <rFont val="Calibri"/>
            <family val="2"/>
            <scheme val="minor"/>
          </rPr>
          <t>Introduzca la fecha de inicio del proceso, en formato dd-mm-aaaa</t>
        </r>
      </text>
    </comment>
    <comment ref="F1295" authorId="2" shapeId="0" xr:uid="{D9E45199-6454-4B47-BD05-9560D99902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F5E3D5CB-0D93-4E14-BDC1-5B5963B313BC}">
      <text/>
    </comment>
    <comment ref="C1297" authorId="2" shapeId="0" xr:uid="{64CA038B-011B-4D1B-9F0D-A0EAEDB2AD4D}">
      <text>
        <r>
          <rPr>
            <sz val="11"/>
            <color theme="1"/>
            <rFont val="Calibri"/>
            <family val="2"/>
            <scheme val="minor"/>
          </rPr>
          <t>Introduzca la fecha prevista de adjudicación, en formato dd-mm-aaaa</t>
        </r>
      </text>
    </comment>
    <comment ref="F1297" authorId="2" shapeId="0" xr:uid="{9CFD083E-A25C-46B0-B2D8-BAC459210645}">
      <text/>
    </comment>
    <comment ref="F1298" authorId="2" shapeId="0" xr:uid="{71F1B5DA-984C-4171-B603-EC9D6BAED487}">
      <text/>
    </comment>
    <comment ref="A1300" authorId="2" shapeId="0" xr:uid="{F37A6E1B-1162-4AFC-B240-D45028BE1D0A}">
      <text>
        <r>
          <rPr>
            <sz val="11"/>
            <color theme="1"/>
            <rFont val="Calibri"/>
            <family val="2"/>
            <scheme val="minor"/>
          </rPr>
          <t>Introduzca un codigo UNSPSC</t>
        </r>
      </text>
    </comment>
    <comment ref="B1300" authorId="2" shapeId="0" xr:uid="{9031F30E-2DEF-4CAD-8FF6-33C7CFF377D2}">
      <text>
        <r>
          <rPr>
            <sz val="11"/>
            <color theme="1"/>
            <rFont val="Calibri"/>
            <family val="2"/>
            <scheme val="minor"/>
          </rPr>
          <t>Descripción calculada automáticamente a partir de código del artículo</t>
        </r>
      </text>
    </comment>
    <comment ref="C1300" authorId="2" shapeId="0" xr:uid="{BFC5E14C-197A-42B3-BD32-C7B9A7ED0381}">
      <text>
        <r>
          <rPr>
            <sz val="11"/>
            <color theme="1"/>
            <rFont val="Calibri"/>
            <family val="2"/>
            <scheme val="minor"/>
          </rPr>
          <t>Seleccione un valor de la lista</t>
        </r>
      </text>
    </comment>
    <comment ref="D1300" authorId="2" shapeId="0" xr:uid="{7A676FCC-A28F-4BAE-85C0-5E7B45077303}">
      <text>
        <r>
          <rPr>
            <sz val="11"/>
            <color theme="1"/>
            <rFont val="Calibri"/>
            <family val="2"/>
            <scheme val="minor"/>
          </rPr>
          <t>Introduzca un número con dos decimales como máximo. Debe ser igual o mayor a la "Cantidad Real Consumida"</t>
        </r>
      </text>
    </comment>
    <comment ref="E1300" authorId="2" shapeId="0" xr:uid="{5D7C4D02-309A-4E57-B799-60ECCFCF31F9}">
      <text>
        <r>
          <rPr>
            <sz val="11"/>
            <color theme="1"/>
            <rFont val="Calibri"/>
            <family val="2"/>
            <scheme val="minor"/>
          </rPr>
          <t>Introduzca un número con dos decimales como máximo</t>
        </r>
      </text>
    </comment>
    <comment ref="F1300" authorId="2" shapeId="0" xr:uid="{62A0EF0F-71C7-4CA4-8219-6D0731F0405C}">
      <text>
        <r>
          <rPr>
            <sz val="11"/>
            <color theme="1"/>
            <rFont val="Calibri"/>
            <family val="2"/>
            <scheme val="minor"/>
          </rPr>
          <t>Monto calculado automáticamente por el sistema</t>
        </r>
      </text>
    </comment>
    <comment ref="A1305" authorId="2" shapeId="0" xr:uid="{98DD7B40-6E0C-45C5-B868-AB88727AB337}">
      <text>
        <r>
          <rPr>
            <sz val="11"/>
            <color theme="1"/>
            <rFont val="Calibri"/>
            <family val="2"/>
            <scheme val="minor"/>
          </rPr>
          <t>Introducir un texto con el nombre o referencia de la contratación</t>
        </r>
      </text>
    </comment>
    <comment ref="B1305" authorId="2" shapeId="0" xr:uid="{298275B4-3D45-43BF-84AA-6E68FF24B473}">
      <text>
        <r>
          <rPr>
            <sz val="11"/>
            <color theme="1"/>
            <rFont val="Calibri"/>
            <family val="2"/>
            <scheme val="minor"/>
          </rPr>
          <t>Introduzca un texto con la finalidad de la contratación</t>
        </r>
      </text>
    </comment>
    <comment ref="C1305" authorId="2" shapeId="0" xr:uid="{8E56B7EA-5D13-4807-A0A4-83E1FAF7F23A}">
      <text>
        <r>
          <rPr>
            <sz val="11"/>
            <color theme="1"/>
            <rFont val="Calibri"/>
            <family val="2"/>
            <scheme val="minor"/>
          </rPr>
          <t>Seleccionar un valor del listado</t>
        </r>
      </text>
    </comment>
    <comment ref="D1305" authorId="2" shapeId="0" xr:uid="{4204CA5C-3DAE-446F-9B96-5C4261F1E520}">
      <text>
        <r>
          <rPr>
            <sz val="11"/>
            <color theme="1"/>
            <rFont val="Calibri"/>
            <family val="2"/>
            <scheme val="minor"/>
          </rPr>
          <t>Seleccione el tipo de procedimiento</t>
        </r>
      </text>
    </comment>
    <comment ref="E1305" authorId="2" shapeId="0" xr:uid="{1C7FF640-FA67-436D-87B4-41DD3BFAC367}">
      <text>
        <r>
          <rPr>
            <sz val="11"/>
            <color theme="1"/>
            <rFont val="Calibri"/>
            <family val="2"/>
            <scheme val="minor"/>
          </rPr>
          <t>Seleccione un valor de la lista</t>
        </r>
      </text>
    </comment>
    <comment ref="F1305" authorId="2" shapeId="0" xr:uid="{D6609C4D-05C3-419E-94AC-4B945BC31D89}">
      <text>
        <r>
          <rPr>
            <sz val="11"/>
            <color theme="1"/>
            <rFont val="Calibri"/>
            <family val="2"/>
            <scheme val="minor"/>
          </rPr>
          <t>Introduzca el código SNIP</t>
        </r>
      </text>
    </comment>
    <comment ref="C1306" authorId="2" shapeId="0" xr:uid="{A3C99BDA-F462-4623-BD5C-FD3698629AD3}">
      <text>
        <r>
          <rPr>
            <sz val="11"/>
            <color theme="1"/>
            <rFont val="Calibri"/>
            <family val="2"/>
            <scheme val="minor"/>
          </rPr>
          <t>Introduzca la fecha de inicio del proceso, en formato dd-mm-aaaa</t>
        </r>
      </text>
    </comment>
    <comment ref="F1306" authorId="2" shapeId="0" xr:uid="{700CA663-9B1E-46F7-A478-AC9D55ECD7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2" shapeId="0" xr:uid="{09F3269C-EB2F-4366-96AF-13F20F55B03D}">
      <text/>
    </comment>
    <comment ref="C1308" authorId="2" shapeId="0" xr:uid="{99143394-2F67-4994-A4E7-379D3DA2C259}">
      <text>
        <r>
          <rPr>
            <sz val="11"/>
            <color theme="1"/>
            <rFont val="Calibri"/>
            <family val="2"/>
            <scheme val="minor"/>
          </rPr>
          <t>Introduzca la fecha prevista de adjudicación, en formato dd-mm-aaaa</t>
        </r>
      </text>
    </comment>
    <comment ref="F1308" authorId="2" shapeId="0" xr:uid="{BB17067D-87CF-4472-B54D-919FD27E9EF5}">
      <text/>
    </comment>
    <comment ref="F1309" authorId="2" shapeId="0" xr:uid="{9050FFF2-C179-44BD-BDC1-9AF0BEE79080}">
      <text/>
    </comment>
    <comment ref="A1311" authorId="2" shapeId="0" xr:uid="{BAC89E40-C5C3-4C14-8D94-7D78ABA8578A}">
      <text>
        <r>
          <rPr>
            <sz val="11"/>
            <color theme="1"/>
            <rFont val="Calibri"/>
            <family val="2"/>
            <scheme val="minor"/>
          </rPr>
          <t>Introduzca un codigo UNSPSC</t>
        </r>
      </text>
    </comment>
    <comment ref="B1311" authorId="2" shapeId="0" xr:uid="{5F9403EC-CC68-4B7B-9CA4-93D333B4960B}">
      <text>
        <r>
          <rPr>
            <sz val="11"/>
            <color theme="1"/>
            <rFont val="Calibri"/>
            <family val="2"/>
            <scheme val="minor"/>
          </rPr>
          <t>Descripción calculada automáticamente a partir de código del artículo</t>
        </r>
      </text>
    </comment>
    <comment ref="C1311" authorId="2" shapeId="0" xr:uid="{74E463A1-D90A-40AE-A9DE-94C787131204}">
      <text>
        <r>
          <rPr>
            <sz val="11"/>
            <color theme="1"/>
            <rFont val="Calibri"/>
            <family val="2"/>
            <scheme val="minor"/>
          </rPr>
          <t>Seleccione un valor de la lista</t>
        </r>
      </text>
    </comment>
    <comment ref="D1311" authorId="2" shapeId="0" xr:uid="{BD64094C-23ED-4424-B8C0-5361367B05D9}">
      <text>
        <r>
          <rPr>
            <sz val="11"/>
            <color theme="1"/>
            <rFont val="Calibri"/>
            <family val="2"/>
            <scheme val="minor"/>
          </rPr>
          <t>Introduzca un número con dos decimales como máximo. Debe ser igual o mayor a la "Cantidad Real Consumida"</t>
        </r>
      </text>
    </comment>
    <comment ref="E1311" authorId="2" shapeId="0" xr:uid="{7FA53E3E-D704-4DA4-8B07-A6CF0045BA01}">
      <text>
        <r>
          <rPr>
            <sz val="11"/>
            <color theme="1"/>
            <rFont val="Calibri"/>
            <family val="2"/>
            <scheme val="minor"/>
          </rPr>
          <t>Introduzca un número con dos decimales como máximo</t>
        </r>
      </text>
    </comment>
    <comment ref="F1311" authorId="2" shapeId="0" xr:uid="{3EABB978-1B62-44AE-BC0F-016DFE35F665}">
      <text>
        <r>
          <rPr>
            <sz val="11"/>
            <color theme="1"/>
            <rFont val="Calibri"/>
            <family val="2"/>
            <scheme val="minor"/>
          </rPr>
          <t>Monto calculado automáticamente por el sistema</t>
        </r>
      </text>
    </comment>
    <comment ref="A1316" authorId="2" shapeId="0" xr:uid="{A60E971E-1EE1-43E1-95DD-ECCA86897B1E}">
      <text>
        <r>
          <rPr>
            <sz val="11"/>
            <color theme="1"/>
            <rFont val="Calibri"/>
            <family val="2"/>
            <scheme val="minor"/>
          </rPr>
          <t>Introducir un texto con el nombre o referencia de la contratación</t>
        </r>
      </text>
    </comment>
    <comment ref="B1316" authorId="2" shapeId="0" xr:uid="{AE2BD369-26AA-423D-9146-F10904CD6358}">
      <text>
        <r>
          <rPr>
            <sz val="11"/>
            <color theme="1"/>
            <rFont val="Calibri"/>
            <family val="2"/>
            <scheme val="minor"/>
          </rPr>
          <t>Introduzca un texto con la finalidad de la contratación</t>
        </r>
      </text>
    </comment>
    <comment ref="C1316" authorId="2" shapeId="0" xr:uid="{146283B2-D684-4F74-B6B7-51392BB48846}">
      <text>
        <r>
          <rPr>
            <sz val="11"/>
            <color theme="1"/>
            <rFont val="Calibri"/>
            <family val="2"/>
            <scheme val="minor"/>
          </rPr>
          <t>Seleccionar un valor del listado</t>
        </r>
      </text>
    </comment>
    <comment ref="D1316" authorId="2" shapeId="0" xr:uid="{20957E36-3E80-4102-B1EB-A8C3EAC673C0}">
      <text>
        <r>
          <rPr>
            <sz val="11"/>
            <color theme="1"/>
            <rFont val="Calibri"/>
            <family val="2"/>
            <scheme val="minor"/>
          </rPr>
          <t>Seleccione el tipo de procedimiento</t>
        </r>
      </text>
    </comment>
    <comment ref="E1316" authorId="2" shapeId="0" xr:uid="{CFD62D2A-F816-4644-97E7-61C74B44FC4B}">
      <text>
        <r>
          <rPr>
            <sz val="11"/>
            <color theme="1"/>
            <rFont val="Calibri"/>
            <family val="2"/>
            <scheme val="minor"/>
          </rPr>
          <t>Seleccione un valor de la lista</t>
        </r>
      </text>
    </comment>
    <comment ref="F1316" authorId="2" shapeId="0" xr:uid="{46F3FCDB-D488-41DC-9506-DD096006A911}">
      <text>
        <r>
          <rPr>
            <sz val="11"/>
            <color theme="1"/>
            <rFont val="Calibri"/>
            <family val="2"/>
            <scheme val="minor"/>
          </rPr>
          <t>Introduzca el código SNIP</t>
        </r>
      </text>
    </comment>
    <comment ref="C1317" authorId="2" shapeId="0" xr:uid="{D95A74A5-43B1-4162-B617-E27DDE688D70}">
      <text>
        <r>
          <rPr>
            <sz val="11"/>
            <color theme="1"/>
            <rFont val="Calibri"/>
            <family val="2"/>
            <scheme val="minor"/>
          </rPr>
          <t>Introduzca la fecha de inicio del proceso, en formato dd-mm-aaaa</t>
        </r>
      </text>
    </comment>
    <comment ref="F1317" authorId="2" shapeId="0" xr:uid="{D56ACE43-EC05-4803-9725-8DFFD0C3D2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2" shapeId="0" xr:uid="{9A4C4686-B35A-4342-B245-2442EC2D3387}">
      <text/>
    </comment>
    <comment ref="C1319" authorId="2" shapeId="0" xr:uid="{11BFD230-79DE-4535-A2CC-9BD2CC6C97F5}">
      <text>
        <r>
          <rPr>
            <sz val="11"/>
            <color theme="1"/>
            <rFont val="Calibri"/>
            <family val="2"/>
            <scheme val="minor"/>
          </rPr>
          <t>Introduzca la fecha prevista de adjudicación, en formato dd-mm-aaaa</t>
        </r>
      </text>
    </comment>
    <comment ref="F1319" authorId="2" shapeId="0" xr:uid="{1C2D1076-A77E-46A7-B6D0-FAE1A60C1033}">
      <text/>
    </comment>
    <comment ref="F1320" authorId="2" shapeId="0" xr:uid="{B1950842-570F-4368-AFB9-902E16956D7D}">
      <text/>
    </comment>
    <comment ref="A1322" authorId="2" shapeId="0" xr:uid="{9FBA6CC5-4689-4B29-85C0-4621B2BD6290}">
      <text>
        <r>
          <rPr>
            <sz val="11"/>
            <color theme="1"/>
            <rFont val="Calibri"/>
            <family val="2"/>
            <scheme val="minor"/>
          </rPr>
          <t>Introduzca un codigo UNSPSC</t>
        </r>
      </text>
    </comment>
    <comment ref="B1322" authorId="2" shapeId="0" xr:uid="{8D630491-2294-4FD5-86CB-C709DE58272A}">
      <text>
        <r>
          <rPr>
            <sz val="11"/>
            <color theme="1"/>
            <rFont val="Calibri"/>
            <family val="2"/>
            <scheme val="minor"/>
          </rPr>
          <t>Descripción calculada automáticamente a partir de código del artículo</t>
        </r>
      </text>
    </comment>
    <comment ref="C1322" authorId="2" shapeId="0" xr:uid="{956435AD-5BA4-4D94-878B-FDB35A600245}">
      <text>
        <r>
          <rPr>
            <sz val="11"/>
            <color theme="1"/>
            <rFont val="Calibri"/>
            <family val="2"/>
            <scheme val="minor"/>
          </rPr>
          <t>Seleccione un valor de la lista</t>
        </r>
      </text>
    </comment>
    <comment ref="D1322" authorId="2" shapeId="0" xr:uid="{545077E3-2179-49FE-A28F-94C565C80057}">
      <text>
        <r>
          <rPr>
            <sz val="11"/>
            <color theme="1"/>
            <rFont val="Calibri"/>
            <family val="2"/>
            <scheme val="minor"/>
          </rPr>
          <t>Introduzca un número con dos decimales como máximo. Debe ser igual o mayor a la "Cantidad Real Consumida"</t>
        </r>
      </text>
    </comment>
    <comment ref="E1322" authorId="2" shapeId="0" xr:uid="{D7F07EAA-3657-48F4-9DC1-2AC4B4CC7B3A}">
      <text>
        <r>
          <rPr>
            <sz val="11"/>
            <color theme="1"/>
            <rFont val="Calibri"/>
            <family val="2"/>
            <scheme val="minor"/>
          </rPr>
          <t>Introduzca un número con dos decimales como máximo</t>
        </r>
      </text>
    </comment>
    <comment ref="F1322" authorId="2" shapeId="0" xr:uid="{99167322-B24E-493E-962C-B24F80292BA7}">
      <text>
        <r>
          <rPr>
            <sz val="11"/>
            <color theme="1"/>
            <rFont val="Calibri"/>
            <family val="2"/>
            <scheme val="minor"/>
          </rPr>
          <t>Monto calculado automáticamente por el sistema</t>
        </r>
      </text>
    </comment>
    <comment ref="A1327" authorId="2" shapeId="0" xr:uid="{4558BE79-91CF-4946-A1E9-3D354FBAD3EB}">
      <text>
        <r>
          <rPr>
            <sz val="11"/>
            <color theme="1"/>
            <rFont val="Calibri"/>
            <family val="2"/>
            <scheme val="minor"/>
          </rPr>
          <t>Introducir un texto con el nombre o referencia de la contratación</t>
        </r>
      </text>
    </comment>
    <comment ref="B1327" authorId="2" shapeId="0" xr:uid="{C0FE3271-F761-46EC-B2CC-C5366ACE9912}">
      <text>
        <r>
          <rPr>
            <sz val="11"/>
            <color theme="1"/>
            <rFont val="Calibri"/>
            <family val="2"/>
            <scheme val="minor"/>
          </rPr>
          <t>Introduzca un texto con la finalidad de la contratación</t>
        </r>
      </text>
    </comment>
    <comment ref="C1327" authorId="2" shapeId="0" xr:uid="{BFA85CD0-CDCC-421E-AB7D-DA2D2D49AF58}">
      <text>
        <r>
          <rPr>
            <sz val="11"/>
            <color theme="1"/>
            <rFont val="Calibri"/>
            <family val="2"/>
            <scheme val="minor"/>
          </rPr>
          <t>Seleccionar un valor del listado</t>
        </r>
      </text>
    </comment>
    <comment ref="D1327" authorId="2" shapeId="0" xr:uid="{86281EC4-075E-46B8-9385-6AF313692CC7}">
      <text>
        <r>
          <rPr>
            <sz val="11"/>
            <color theme="1"/>
            <rFont val="Calibri"/>
            <family val="2"/>
            <scheme val="minor"/>
          </rPr>
          <t>Seleccione el tipo de procedimiento</t>
        </r>
      </text>
    </comment>
    <comment ref="E1327" authorId="2" shapeId="0" xr:uid="{16C58CDB-A120-4CE7-B7FE-B3BADB86C098}">
      <text>
        <r>
          <rPr>
            <sz val="11"/>
            <color theme="1"/>
            <rFont val="Calibri"/>
            <family val="2"/>
            <scheme val="minor"/>
          </rPr>
          <t>Seleccione un valor de la lista</t>
        </r>
      </text>
    </comment>
    <comment ref="F1327" authorId="2" shapeId="0" xr:uid="{478CD241-CFBF-4DEF-B9BA-5A57B9FB253C}">
      <text>
        <r>
          <rPr>
            <sz val="11"/>
            <color theme="1"/>
            <rFont val="Calibri"/>
            <family val="2"/>
            <scheme val="minor"/>
          </rPr>
          <t>Introduzca el código SNIP</t>
        </r>
      </text>
    </comment>
    <comment ref="C1328" authorId="2" shapeId="0" xr:uid="{7BAD4E6E-1940-4DEA-90DB-76748943CE39}">
      <text>
        <r>
          <rPr>
            <sz val="11"/>
            <color theme="1"/>
            <rFont val="Calibri"/>
            <family val="2"/>
            <scheme val="minor"/>
          </rPr>
          <t>Introduzca la fecha de inicio del proceso, en formato dd-mm-aaaa</t>
        </r>
      </text>
    </comment>
    <comment ref="F1328" authorId="2" shapeId="0" xr:uid="{2478D5F7-F0B7-434A-8336-F6CABEB38C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6A75B8F8-EE92-48FF-9D00-2AE025A48F4C}">
      <text/>
    </comment>
    <comment ref="C1330" authorId="2" shapeId="0" xr:uid="{4A1A797C-AB3F-4666-AA53-925C7777DC81}">
      <text>
        <r>
          <rPr>
            <sz val="11"/>
            <color theme="1"/>
            <rFont val="Calibri"/>
            <family val="2"/>
            <scheme val="minor"/>
          </rPr>
          <t>Introduzca la fecha prevista de adjudicación, en formato dd-mm-aaaa</t>
        </r>
      </text>
    </comment>
    <comment ref="F1330" authorId="2" shapeId="0" xr:uid="{CC988A4A-3CF9-486A-B52E-16F6AD4FCBA0}">
      <text/>
    </comment>
    <comment ref="F1331" authorId="2" shapeId="0" xr:uid="{5C44AD1C-3BC2-47AC-8969-CDA4987563DF}">
      <text/>
    </comment>
    <comment ref="A1333" authorId="2" shapeId="0" xr:uid="{BF24F1E1-F3BD-4241-BAC9-26BBE80C43C7}">
      <text>
        <r>
          <rPr>
            <sz val="11"/>
            <color theme="1"/>
            <rFont val="Calibri"/>
            <family val="2"/>
            <scheme val="minor"/>
          </rPr>
          <t>Introduzca un codigo UNSPSC</t>
        </r>
      </text>
    </comment>
    <comment ref="B1333" authorId="2" shapeId="0" xr:uid="{23A310C3-76DA-4144-95D2-0EAEE8D5860F}">
      <text>
        <r>
          <rPr>
            <sz val="11"/>
            <color theme="1"/>
            <rFont val="Calibri"/>
            <family val="2"/>
            <scheme val="minor"/>
          </rPr>
          <t>Descripción calculada automáticamente a partir de código del artículo</t>
        </r>
      </text>
    </comment>
    <comment ref="C1333" authorId="2" shapeId="0" xr:uid="{E88910B8-A9A1-42FF-98E4-B3C93A9EC36F}">
      <text>
        <r>
          <rPr>
            <sz val="11"/>
            <color theme="1"/>
            <rFont val="Calibri"/>
            <family val="2"/>
            <scheme val="minor"/>
          </rPr>
          <t>Seleccione un valor de la lista</t>
        </r>
      </text>
    </comment>
    <comment ref="D1333" authorId="2" shapeId="0" xr:uid="{4517EB14-ACFB-4A6A-9D53-89D5928E5E04}">
      <text>
        <r>
          <rPr>
            <sz val="11"/>
            <color theme="1"/>
            <rFont val="Calibri"/>
            <family val="2"/>
            <scheme val="minor"/>
          </rPr>
          <t>Introduzca un número con dos decimales como máximo. Debe ser igual o mayor a la "Cantidad Real Consumida"</t>
        </r>
      </text>
    </comment>
    <comment ref="E1333" authorId="2" shapeId="0" xr:uid="{EEA95727-448D-457F-BB9E-418AA4B248A6}">
      <text>
        <r>
          <rPr>
            <sz val="11"/>
            <color theme="1"/>
            <rFont val="Calibri"/>
            <family val="2"/>
            <scheme val="minor"/>
          </rPr>
          <t>Introduzca un número con dos decimales como máximo</t>
        </r>
      </text>
    </comment>
    <comment ref="F1333" authorId="2" shapeId="0" xr:uid="{2D6C69BF-2A1E-4E98-BFF3-8E9965E38343}">
      <text>
        <r>
          <rPr>
            <sz val="11"/>
            <color theme="1"/>
            <rFont val="Calibri"/>
            <family val="2"/>
            <scheme val="minor"/>
          </rPr>
          <t>Monto calculado automáticamente por el sistema</t>
        </r>
      </text>
    </comment>
    <comment ref="A1338" authorId="2" shapeId="0" xr:uid="{683E0816-FCE1-4777-91F2-934713F4FCAF}">
      <text>
        <r>
          <rPr>
            <sz val="11"/>
            <color theme="1"/>
            <rFont val="Calibri"/>
            <family val="2"/>
            <scheme val="minor"/>
          </rPr>
          <t>Introducir un texto con el nombre o referencia de la contratación</t>
        </r>
      </text>
    </comment>
    <comment ref="B1338" authorId="2" shapeId="0" xr:uid="{0D3E1ABD-7C3F-4109-990B-C8F9D645EBBB}">
      <text>
        <r>
          <rPr>
            <sz val="11"/>
            <color theme="1"/>
            <rFont val="Calibri"/>
            <family val="2"/>
            <scheme val="minor"/>
          </rPr>
          <t>Introduzca un texto con la finalidad de la contratación</t>
        </r>
      </text>
    </comment>
    <comment ref="C1338" authorId="2" shapeId="0" xr:uid="{E762EB11-D5CA-4AD9-A064-E21C389134EE}">
      <text>
        <r>
          <rPr>
            <sz val="11"/>
            <color theme="1"/>
            <rFont val="Calibri"/>
            <family val="2"/>
            <scheme val="minor"/>
          </rPr>
          <t>Seleccionar un valor del listado</t>
        </r>
      </text>
    </comment>
    <comment ref="D1338" authorId="2" shapeId="0" xr:uid="{F3A2F4B4-F858-48CA-AAB0-4333957EE1A5}">
      <text>
        <r>
          <rPr>
            <sz val="11"/>
            <color theme="1"/>
            <rFont val="Calibri"/>
            <family val="2"/>
            <scheme val="minor"/>
          </rPr>
          <t>Seleccione el tipo de procedimiento</t>
        </r>
      </text>
    </comment>
    <comment ref="E1338" authorId="2" shapeId="0" xr:uid="{D3183487-8B81-4896-8746-8510F26D5E2B}">
      <text>
        <r>
          <rPr>
            <sz val="11"/>
            <color theme="1"/>
            <rFont val="Calibri"/>
            <family val="2"/>
            <scheme val="minor"/>
          </rPr>
          <t>Seleccione un valor de la lista</t>
        </r>
      </text>
    </comment>
    <comment ref="F1338" authorId="2" shapeId="0" xr:uid="{B9241EFE-7B16-4E5D-90CE-0F6E7C5672A5}">
      <text>
        <r>
          <rPr>
            <sz val="11"/>
            <color theme="1"/>
            <rFont val="Calibri"/>
            <family val="2"/>
            <scheme val="minor"/>
          </rPr>
          <t>Introduzca el código SNIP</t>
        </r>
      </text>
    </comment>
    <comment ref="C1339" authorId="2" shapeId="0" xr:uid="{85607D95-660E-4C54-A374-57CF7E9F276E}">
      <text>
        <r>
          <rPr>
            <sz val="11"/>
            <color theme="1"/>
            <rFont val="Calibri"/>
            <family val="2"/>
            <scheme val="minor"/>
          </rPr>
          <t>Introduzca la fecha de inicio del proceso, en formato dd-mm-aaaa</t>
        </r>
      </text>
    </comment>
    <comment ref="F1339" authorId="2" shapeId="0" xr:uid="{B0219CF5-FCB9-4078-B3BF-9C76CB00BE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FDB7C4D7-841F-47B1-AF53-9C5EB2013873}">
      <text/>
    </comment>
    <comment ref="C1341" authorId="2" shapeId="0" xr:uid="{88158DF9-AD5B-44C3-A9E2-1EE40A497259}">
      <text>
        <r>
          <rPr>
            <sz val="11"/>
            <color theme="1"/>
            <rFont val="Calibri"/>
            <family val="2"/>
            <scheme val="minor"/>
          </rPr>
          <t>Introduzca la fecha prevista de adjudicación, en formato dd-mm-aaaa</t>
        </r>
      </text>
    </comment>
    <comment ref="F1341" authorId="2" shapeId="0" xr:uid="{DB232956-CC73-4A9A-B5A5-CF578989A282}">
      <text/>
    </comment>
    <comment ref="F1342" authorId="2" shapeId="0" xr:uid="{8CE68F30-1ED5-4D40-9CDA-15B1AE56EE72}">
      <text/>
    </comment>
    <comment ref="A1344" authorId="2" shapeId="0" xr:uid="{7F387891-141C-44EB-A627-A87E319DDABE}">
      <text>
        <r>
          <rPr>
            <sz val="11"/>
            <color theme="1"/>
            <rFont val="Calibri"/>
            <family val="2"/>
            <scheme val="minor"/>
          </rPr>
          <t>Introduzca un codigo UNSPSC</t>
        </r>
      </text>
    </comment>
    <comment ref="B1344" authorId="2" shapeId="0" xr:uid="{B650A077-8025-4169-82F3-DB7DF3A526C0}">
      <text>
        <r>
          <rPr>
            <sz val="11"/>
            <color theme="1"/>
            <rFont val="Calibri"/>
            <family val="2"/>
            <scheme val="minor"/>
          </rPr>
          <t>Descripción calculada automáticamente a partir de código del artículo</t>
        </r>
      </text>
    </comment>
    <comment ref="C1344" authorId="2" shapeId="0" xr:uid="{96600C6E-3520-458A-957B-638A2AAC8ADC}">
      <text>
        <r>
          <rPr>
            <sz val="11"/>
            <color theme="1"/>
            <rFont val="Calibri"/>
            <family val="2"/>
            <scheme val="minor"/>
          </rPr>
          <t>Seleccione un valor de la lista</t>
        </r>
      </text>
    </comment>
    <comment ref="D1344" authorId="2" shapeId="0" xr:uid="{331F6538-F834-4AE9-B16C-7A9583FCA6C4}">
      <text>
        <r>
          <rPr>
            <sz val="11"/>
            <color theme="1"/>
            <rFont val="Calibri"/>
            <family val="2"/>
            <scheme val="minor"/>
          </rPr>
          <t>Introduzca un número con dos decimales como máximo. Debe ser igual o mayor a la "Cantidad Real Consumida"</t>
        </r>
      </text>
    </comment>
    <comment ref="E1344" authorId="2" shapeId="0" xr:uid="{8BE6EB8B-F64A-4B49-BB9B-4674117180CD}">
      <text>
        <r>
          <rPr>
            <sz val="11"/>
            <color theme="1"/>
            <rFont val="Calibri"/>
            <family val="2"/>
            <scheme val="minor"/>
          </rPr>
          <t>Introduzca un número con dos decimales como máximo</t>
        </r>
      </text>
    </comment>
    <comment ref="F1344" authorId="2" shapeId="0" xr:uid="{D37D38B9-855E-4BB2-AA90-6BFA322B5778}">
      <text>
        <r>
          <rPr>
            <sz val="11"/>
            <color theme="1"/>
            <rFont val="Calibri"/>
            <family val="2"/>
            <scheme val="minor"/>
          </rPr>
          <t>Monto calculado automáticamente por el sistema</t>
        </r>
      </text>
    </comment>
    <comment ref="A1349" authorId="2" shapeId="0" xr:uid="{3CB13C23-1100-4ECF-953B-E761980C703A}">
      <text>
        <r>
          <rPr>
            <sz val="11"/>
            <color theme="1"/>
            <rFont val="Calibri"/>
            <family val="2"/>
            <scheme val="minor"/>
          </rPr>
          <t>Introducir un texto con el nombre o referencia de la contratación</t>
        </r>
      </text>
    </comment>
    <comment ref="B1349" authorId="2" shapeId="0" xr:uid="{F2B4D05C-70AC-4EAE-BFB9-E02B6F77F6D0}">
      <text>
        <r>
          <rPr>
            <sz val="11"/>
            <color theme="1"/>
            <rFont val="Calibri"/>
            <family val="2"/>
            <scheme val="minor"/>
          </rPr>
          <t>Introduzca un texto con la finalidad de la contratación</t>
        </r>
      </text>
    </comment>
    <comment ref="C1349" authorId="2" shapeId="0" xr:uid="{B3E2146A-A33E-4693-8208-755524B54885}">
      <text>
        <r>
          <rPr>
            <sz val="11"/>
            <color theme="1"/>
            <rFont val="Calibri"/>
            <family val="2"/>
            <scheme val="minor"/>
          </rPr>
          <t>Seleccionar un valor del listado</t>
        </r>
      </text>
    </comment>
    <comment ref="D1349" authorId="2" shapeId="0" xr:uid="{B6BA1881-DE83-4497-8A76-6FFB0B8DC1AA}">
      <text>
        <r>
          <rPr>
            <sz val="11"/>
            <color theme="1"/>
            <rFont val="Calibri"/>
            <family val="2"/>
            <scheme val="minor"/>
          </rPr>
          <t>Seleccione el tipo de procedimiento</t>
        </r>
      </text>
    </comment>
    <comment ref="E1349" authorId="2" shapeId="0" xr:uid="{D250D31A-4C36-4C14-A6F6-91060E78FBF3}">
      <text>
        <r>
          <rPr>
            <sz val="11"/>
            <color theme="1"/>
            <rFont val="Calibri"/>
            <family val="2"/>
            <scheme val="minor"/>
          </rPr>
          <t>Seleccione un valor de la lista</t>
        </r>
      </text>
    </comment>
    <comment ref="F1349" authorId="2" shapeId="0" xr:uid="{CE8E78FD-D8B1-40C3-9783-35134F6A4930}">
      <text>
        <r>
          <rPr>
            <sz val="11"/>
            <color theme="1"/>
            <rFont val="Calibri"/>
            <family val="2"/>
            <scheme val="minor"/>
          </rPr>
          <t>Introduzca el código SNIP</t>
        </r>
      </text>
    </comment>
    <comment ref="C1350" authorId="2" shapeId="0" xr:uid="{2DF68D6D-6A70-4C70-B60D-DD46811E1B95}">
      <text>
        <r>
          <rPr>
            <sz val="11"/>
            <color theme="1"/>
            <rFont val="Calibri"/>
            <family val="2"/>
            <scheme val="minor"/>
          </rPr>
          <t>Introduzca la fecha de inicio del proceso, en formato dd-mm-aaaa</t>
        </r>
      </text>
    </comment>
    <comment ref="F1350" authorId="2" shapeId="0" xr:uid="{78EFC316-F542-49ED-AB37-F3AFE97501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2" shapeId="0" xr:uid="{0E4F4BDF-56A5-4747-AFDB-2ABF512C47B7}">
      <text/>
    </comment>
    <comment ref="C1352" authorId="2" shapeId="0" xr:uid="{F9C249B2-91A5-4BC4-9037-ADFCA07A77F9}">
      <text>
        <r>
          <rPr>
            <sz val="11"/>
            <color theme="1"/>
            <rFont val="Calibri"/>
            <family val="2"/>
            <scheme val="minor"/>
          </rPr>
          <t>Introduzca la fecha prevista de adjudicación, en formato dd-mm-aaaa</t>
        </r>
      </text>
    </comment>
    <comment ref="F1352" authorId="2" shapeId="0" xr:uid="{9BF31954-1CC7-4AFA-B2C4-91FCEA073574}">
      <text/>
    </comment>
    <comment ref="F1353" authorId="2" shapeId="0" xr:uid="{24717267-932C-4031-8331-4B9CD9CEE9AC}">
      <text/>
    </comment>
    <comment ref="A1355" authorId="2" shapeId="0" xr:uid="{3EDE914E-8EAE-435B-AFDE-AB5B28239E8F}">
      <text>
        <r>
          <rPr>
            <sz val="11"/>
            <color theme="1"/>
            <rFont val="Calibri"/>
            <family val="2"/>
            <scheme val="minor"/>
          </rPr>
          <t>Introduzca un codigo UNSPSC</t>
        </r>
      </text>
    </comment>
    <comment ref="B1355" authorId="2" shapeId="0" xr:uid="{2374918F-1866-45AC-927E-FD2069D30A67}">
      <text>
        <r>
          <rPr>
            <sz val="11"/>
            <color theme="1"/>
            <rFont val="Calibri"/>
            <family val="2"/>
            <scheme val="minor"/>
          </rPr>
          <t>Descripción calculada automáticamente a partir de código del artículo</t>
        </r>
      </text>
    </comment>
    <comment ref="C1355" authorId="2" shapeId="0" xr:uid="{1586FC74-1D91-4007-B706-FC1E72A62FF9}">
      <text>
        <r>
          <rPr>
            <sz val="11"/>
            <color theme="1"/>
            <rFont val="Calibri"/>
            <family val="2"/>
            <scheme val="minor"/>
          </rPr>
          <t>Seleccione un valor de la lista</t>
        </r>
      </text>
    </comment>
    <comment ref="D1355" authorId="2" shapeId="0" xr:uid="{84386344-DB2A-40C9-A727-0BD5CBE47983}">
      <text>
        <r>
          <rPr>
            <sz val="11"/>
            <color theme="1"/>
            <rFont val="Calibri"/>
            <family val="2"/>
            <scheme val="minor"/>
          </rPr>
          <t>Introduzca un número con dos decimales como máximo. Debe ser igual o mayor a la "Cantidad Real Consumida"</t>
        </r>
      </text>
    </comment>
    <comment ref="E1355" authorId="2" shapeId="0" xr:uid="{AC14CF14-AE48-4115-9E23-7C4274FC07B3}">
      <text>
        <r>
          <rPr>
            <sz val="11"/>
            <color theme="1"/>
            <rFont val="Calibri"/>
            <family val="2"/>
            <scheme val="minor"/>
          </rPr>
          <t>Introduzca un número con dos decimales como máximo</t>
        </r>
      </text>
    </comment>
    <comment ref="F1355" authorId="2" shapeId="0" xr:uid="{E93F18F1-EAA6-4E34-92C3-B2B690303A20}">
      <text>
        <r>
          <rPr>
            <sz val="11"/>
            <color theme="1"/>
            <rFont val="Calibri"/>
            <family val="2"/>
            <scheme val="minor"/>
          </rPr>
          <t>Monto calculado automáticamente por el sistema</t>
        </r>
      </text>
    </comment>
    <comment ref="A1361" authorId="2" shapeId="0" xr:uid="{E77977D2-6B46-4101-81EB-6E27B556C0BE}">
      <text>
        <r>
          <rPr>
            <sz val="11"/>
            <color theme="1"/>
            <rFont val="Calibri"/>
            <family val="2"/>
            <scheme val="minor"/>
          </rPr>
          <t>Introducir un texto con el nombre o referencia de la contratación</t>
        </r>
      </text>
    </comment>
    <comment ref="B1361" authorId="2" shapeId="0" xr:uid="{7989DD4F-128B-437F-845C-D3013AB2DE56}">
      <text>
        <r>
          <rPr>
            <sz val="11"/>
            <color theme="1"/>
            <rFont val="Calibri"/>
            <family val="2"/>
            <scheme val="minor"/>
          </rPr>
          <t>Introduzca un texto con la finalidad de la contratación</t>
        </r>
      </text>
    </comment>
    <comment ref="C1361" authorId="2" shapeId="0" xr:uid="{76064008-3B8C-4D4C-A035-8F07126953A5}">
      <text>
        <r>
          <rPr>
            <sz val="11"/>
            <color theme="1"/>
            <rFont val="Calibri"/>
            <family val="2"/>
            <scheme val="minor"/>
          </rPr>
          <t>Seleccionar un valor del listado</t>
        </r>
      </text>
    </comment>
    <comment ref="D1361" authorId="2" shapeId="0" xr:uid="{4644E8A4-8C35-427D-A55A-B33BB39E055C}">
      <text>
        <r>
          <rPr>
            <sz val="11"/>
            <color theme="1"/>
            <rFont val="Calibri"/>
            <family val="2"/>
            <scheme val="minor"/>
          </rPr>
          <t>Seleccione el tipo de procedimiento</t>
        </r>
      </text>
    </comment>
    <comment ref="E1361" authorId="2" shapeId="0" xr:uid="{D214197D-7C0E-4718-857E-99D8E465CE69}">
      <text>
        <r>
          <rPr>
            <sz val="11"/>
            <color theme="1"/>
            <rFont val="Calibri"/>
            <family val="2"/>
            <scheme val="minor"/>
          </rPr>
          <t>Seleccione un valor de la lista</t>
        </r>
      </text>
    </comment>
    <comment ref="F1361" authorId="2" shapeId="0" xr:uid="{D6A39266-E3DF-4C6F-8689-D8D57A26B113}">
      <text>
        <r>
          <rPr>
            <sz val="11"/>
            <color theme="1"/>
            <rFont val="Calibri"/>
            <family val="2"/>
            <scheme val="minor"/>
          </rPr>
          <t>Introduzca el código SNIP</t>
        </r>
      </text>
    </comment>
    <comment ref="C1362" authorId="2" shapeId="0" xr:uid="{4FA4431F-EEB6-4AC0-930B-713DDE96C37E}">
      <text>
        <r>
          <rPr>
            <sz val="11"/>
            <color theme="1"/>
            <rFont val="Calibri"/>
            <family val="2"/>
            <scheme val="minor"/>
          </rPr>
          <t>Introduzca la fecha de inicio del proceso, en formato dd-mm-aaaa</t>
        </r>
      </text>
    </comment>
    <comment ref="F1362" authorId="2" shapeId="0" xr:uid="{5CE0C813-436C-4B33-BDAD-84D311222F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xr:uid="{F42D460B-74F5-4149-8B3D-E022F3F48350}">
      <text/>
    </comment>
    <comment ref="C1364" authorId="2" shapeId="0" xr:uid="{6BF53758-A27E-4F9B-8170-7CBD6CDE6F72}">
      <text>
        <r>
          <rPr>
            <sz val="11"/>
            <color theme="1"/>
            <rFont val="Calibri"/>
            <family val="2"/>
            <scheme val="minor"/>
          </rPr>
          <t>Introduzca la fecha prevista de adjudicación, en formato dd-mm-aaaa</t>
        </r>
      </text>
    </comment>
    <comment ref="F1364" authorId="2" shapeId="0" xr:uid="{98EDE2DD-74DC-41BE-ACFF-9C281FC4A33D}">
      <text/>
    </comment>
    <comment ref="F1365" authorId="2" shapeId="0" xr:uid="{51525CB1-DD36-49E5-8523-DC229C17E8DF}">
      <text/>
    </comment>
    <comment ref="A1367" authorId="2" shapeId="0" xr:uid="{38287986-6FA8-46C9-81E8-0CB60B50AE20}">
      <text>
        <r>
          <rPr>
            <sz val="11"/>
            <color theme="1"/>
            <rFont val="Calibri"/>
            <family val="2"/>
            <scheme val="minor"/>
          </rPr>
          <t>Introduzca un codigo UNSPSC</t>
        </r>
      </text>
    </comment>
    <comment ref="B1367" authorId="2" shapeId="0" xr:uid="{A7526E2F-AC16-4350-B845-AD45A260433F}">
      <text>
        <r>
          <rPr>
            <sz val="11"/>
            <color theme="1"/>
            <rFont val="Calibri"/>
            <family val="2"/>
            <scheme val="minor"/>
          </rPr>
          <t>Descripción calculada automáticamente a partir de código del artículo</t>
        </r>
      </text>
    </comment>
    <comment ref="C1367" authorId="2" shapeId="0" xr:uid="{8A4FBAF7-42E1-44E5-BFD0-CAD3CE737E75}">
      <text>
        <r>
          <rPr>
            <sz val="11"/>
            <color theme="1"/>
            <rFont val="Calibri"/>
            <family val="2"/>
            <scheme val="minor"/>
          </rPr>
          <t>Seleccione un valor de la lista</t>
        </r>
      </text>
    </comment>
    <comment ref="D1367" authorId="2" shapeId="0" xr:uid="{45619D97-5FDC-409D-B168-2919057A9BAC}">
      <text>
        <r>
          <rPr>
            <sz val="11"/>
            <color theme="1"/>
            <rFont val="Calibri"/>
            <family val="2"/>
            <scheme val="minor"/>
          </rPr>
          <t>Introduzca un número con dos decimales como máximo. Debe ser igual o mayor a la "Cantidad Real Consumida"</t>
        </r>
      </text>
    </comment>
    <comment ref="E1367" authorId="2" shapeId="0" xr:uid="{CDEB4CDA-447B-417B-BBE4-291418682C0B}">
      <text>
        <r>
          <rPr>
            <sz val="11"/>
            <color theme="1"/>
            <rFont val="Calibri"/>
            <family val="2"/>
            <scheme val="minor"/>
          </rPr>
          <t>Introduzca un número con dos decimales como máximo</t>
        </r>
      </text>
    </comment>
    <comment ref="F1367" authorId="2" shapeId="0" xr:uid="{E6BE3650-1305-4D4B-874C-D5CA4E82664F}">
      <text>
        <r>
          <rPr>
            <sz val="11"/>
            <color theme="1"/>
            <rFont val="Calibri"/>
            <family val="2"/>
            <scheme val="minor"/>
          </rPr>
          <t>Monto calculado automáticamente por el sistema</t>
        </r>
      </text>
    </comment>
    <comment ref="A1372" authorId="2" shapeId="0" xr:uid="{48D1E1C5-F31D-499C-8742-14BE8515B48B}">
      <text>
        <r>
          <rPr>
            <sz val="11"/>
            <color theme="1"/>
            <rFont val="Calibri"/>
            <family val="2"/>
            <scheme val="minor"/>
          </rPr>
          <t>Introducir un texto con el nombre o referencia de la contratación</t>
        </r>
      </text>
    </comment>
    <comment ref="B1372" authorId="2" shapeId="0" xr:uid="{F4228629-5078-4E3E-84D1-97FDCFD4BEEB}">
      <text>
        <r>
          <rPr>
            <sz val="11"/>
            <color theme="1"/>
            <rFont val="Calibri"/>
            <family val="2"/>
            <scheme val="minor"/>
          </rPr>
          <t>Introduzca un texto con la finalidad de la contratación</t>
        </r>
      </text>
    </comment>
    <comment ref="C1372" authorId="2" shapeId="0" xr:uid="{A6E2D8D4-C68A-426C-A6A1-BD5A01E22D90}">
      <text>
        <r>
          <rPr>
            <sz val="11"/>
            <color theme="1"/>
            <rFont val="Calibri"/>
            <family val="2"/>
            <scheme val="minor"/>
          </rPr>
          <t>Seleccionar un valor del listado</t>
        </r>
      </text>
    </comment>
    <comment ref="D1372" authorId="2" shapeId="0" xr:uid="{5A717A42-42A8-492C-BD41-35ED72F39FDD}">
      <text>
        <r>
          <rPr>
            <sz val="11"/>
            <color theme="1"/>
            <rFont val="Calibri"/>
            <family val="2"/>
            <scheme val="minor"/>
          </rPr>
          <t>Seleccione el tipo de procedimiento</t>
        </r>
      </text>
    </comment>
    <comment ref="E1372" authorId="2" shapeId="0" xr:uid="{FEA4E83A-08FD-4221-ABA3-93B404DDB1C8}">
      <text>
        <r>
          <rPr>
            <sz val="11"/>
            <color theme="1"/>
            <rFont val="Calibri"/>
            <family val="2"/>
            <scheme val="minor"/>
          </rPr>
          <t>Seleccione un valor de la lista</t>
        </r>
      </text>
    </comment>
    <comment ref="F1372" authorId="2" shapeId="0" xr:uid="{7C6A3C67-2EF5-4441-A9AB-9D006FA50BDD}">
      <text>
        <r>
          <rPr>
            <sz val="11"/>
            <color theme="1"/>
            <rFont val="Calibri"/>
            <family val="2"/>
            <scheme val="minor"/>
          </rPr>
          <t>Introduzca el código SNIP</t>
        </r>
      </text>
    </comment>
    <comment ref="C1373" authorId="2" shapeId="0" xr:uid="{47331632-05DA-43A3-B6A6-800A38983C6F}">
      <text>
        <r>
          <rPr>
            <sz val="11"/>
            <color theme="1"/>
            <rFont val="Calibri"/>
            <family val="2"/>
            <scheme val="minor"/>
          </rPr>
          <t>Introduzca la fecha de inicio del proceso, en formato dd-mm-aaaa</t>
        </r>
      </text>
    </comment>
    <comment ref="F1373" authorId="2" shapeId="0" xr:uid="{29626B09-B5A3-4B45-B8DE-B2EADAF2D3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2" shapeId="0" xr:uid="{8D79BED0-0B0A-40B7-8284-2FD13A1C5F91}">
      <text/>
    </comment>
    <comment ref="C1375" authorId="2" shapeId="0" xr:uid="{CE476624-21CE-4584-B89E-666FD5FD4432}">
      <text>
        <r>
          <rPr>
            <sz val="11"/>
            <color theme="1"/>
            <rFont val="Calibri"/>
            <family val="2"/>
            <scheme val="minor"/>
          </rPr>
          <t>Introduzca la fecha prevista de adjudicación, en formato dd-mm-aaaa</t>
        </r>
      </text>
    </comment>
    <comment ref="F1375" authorId="2" shapeId="0" xr:uid="{AFC3058E-DC74-4878-9D0C-3CF94B1B09F1}">
      <text/>
    </comment>
    <comment ref="F1376" authorId="2" shapeId="0" xr:uid="{09EC005F-2EE0-4EEF-9CC4-E7C60DC2EFBA}">
      <text/>
    </comment>
    <comment ref="A1378" authorId="2" shapeId="0" xr:uid="{7F1E1F06-60B7-4927-AB71-765D6FC4B29C}">
      <text>
        <r>
          <rPr>
            <sz val="11"/>
            <color theme="1"/>
            <rFont val="Calibri"/>
            <family val="2"/>
            <scheme val="minor"/>
          </rPr>
          <t>Introduzca un codigo UNSPSC</t>
        </r>
      </text>
    </comment>
    <comment ref="B1378" authorId="2" shapeId="0" xr:uid="{C5FF8C45-4EA0-434A-813F-D5439362366A}">
      <text>
        <r>
          <rPr>
            <sz val="11"/>
            <color theme="1"/>
            <rFont val="Calibri"/>
            <family val="2"/>
            <scheme val="minor"/>
          </rPr>
          <t>Descripción calculada automáticamente a partir de código del artículo</t>
        </r>
      </text>
    </comment>
    <comment ref="C1378" authorId="2" shapeId="0" xr:uid="{CDAF357B-B85E-4CB7-A734-AA17515B1894}">
      <text>
        <r>
          <rPr>
            <sz val="11"/>
            <color theme="1"/>
            <rFont val="Calibri"/>
            <family val="2"/>
            <scheme val="minor"/>
          </rPr>
          <t>Seleccione un valor de la lista</t>
        </r>
      </text>
    </comment>
    <comment ref="D1378" authorId="2" shapeId="0" xr:uid="{D5B85D73-FDE2-461B-847F-B5D9908675BA}">
      <text>
        <r>
          <rPr>
            <sz val="11"/>
            <color theme="1"/>
            <rFont val="Calibri"/>
            <family val="2"/>
            <scheme val="minor"/>
          </rPr>
          <t>Introduzca un número con dos decimales como máximo. Debe ser igual o mayor a la "Cantidad Real Consumida"</t>
        </r>
      </text>
    </comment>
    <comment ref="E1378" authorId="2" shapeId="0" xr:uid="{A1E38622-DB49-4510-A1E5-1382BB1FD156}">
      <text>
        <r>
          <rPr>
            <sz val="11"/>
            <color theme="1"/>
            <rFont val="Calibri"/>
            <family val="2"/>
            <scheme val="minor"/>
          </rPr>
          <t>Introduzca un número con dos decimales como máximo</t>
        </r>
      </text>
    </comment>
    <comment ref="F1378" authorId="2" shapeId="0" xr:uid="{EA45E63F-710F-4AAE-B9C1-BD39C7E442CB}">
      <text>
        <r>
          <rPr>
            <sz val="11"/>
            <color theme="1"/>
            <rFont val="Calibri"/>
            <family val="2"/>
            <scheme val="minor"/>
          </rPr>
          <t>Monto calculado automáticamente por el sistema</t>
        </r>
      </text>
    </comment>
    <comment ref="A1383" authorId="2" shapeId="0" xr:uid="{9C03479F-C93C-4AFD-A05F-4A9EB1023D70}">
      <text>
        <r>
          <rPr>
            <sz val="11"/>
            <color theme="1"/>
            <rFont val="Calibri"/>
            <family val="2"/>
            <scheme val="minor"/>
          </rPr>
          <t>Introducir un texto con el nombre o referencia de la contratación</t>
        </r>
      </text>
    </comment>
    <comment ref="B1383" authorId="2" shapeId="0" xr:uid="{8D676014-5FA0-458C-AC33-35CF0F2094C3}">
      <text>
        <r>
          <rPr>
            <sz val="11"/>
            <color theme="1"/>
            <rFont val="Calibri"/>
            <family val="2"/>
            <scheme val="minor"/>
          </rPr>
          <t>Introduzca un texto con la finalidad de la contratación</t>
        </r>
      </text>
    </comment>
    <comment ref="C1383" authorId="2" shapeId="0" xr:uid="{626E0C64-CAFB-4304-86A2-B05CE2AD3623}">
      <text>
        <r>
          <rPr>
            <sz val="11"/>
            <color theme="1"/>
            <rFont val="Calibri"/>
            <family val="2"/>
            <scheme val="minor"/>
          </rPr>
          <t>Seleccionar un valor del listado</t>
        </r>
      </text>
    </comment>
    <comment ref="D1383" authorId="2" shapeId="0" xr:uid="{FEA31E49-9190-4EB9-8090-193831ED8947}">
      <text>
        <r>
          <rPr>
            <sz val="11"/>
            <color theme="1"/>
            <rFont val="Calibri"/>
            <family val="2"/>
            <scheme val="minor"/>
          </rPr>
          <t>Seleccione el tipo de procedimiento</t>
        </r>
      </text>
    </comment>
    <comment ref="E1383" authorId="2" shapeId="0" xr:uid="{8A46430F-9895-4B6B-AF82-F70A8C31755C}">
      <text>
        <r>
          <rPr>
            <sz val="11"/>
            <color theme="1"/>
            <rFont val="Calibri"/>
            <family val="2"/>
            <scheme val="minor"/>
          </rPr>
          <t>Seleccione un valor de la lista</t>
        </r>
      </text>
    </comment>
    <comment ref="F1383" authorId="2" shapeId="0" xr:uid="{5AF01B73-ADFD-434B-94FA-6932CB47E32A}">
      <text>
        <r>
          <rPr>
            <sz val="11"/>
            <color theme="1"/>
            <rFont val="Calibri"/>
            <family val="2"/>
            <scheme val="minor"/>
          </rPr>
          <t>Introduzca el código SNIP</t>
        </r>
      </text>
    </comment>
    <comment ref="C1384" authorId="2" shapeId="0" xr:uid="{1F83B0EE-4105-4E9F-954E-FD9554481DED}">
      <text>
        <r>
          <rPr>
            <sz val="11"/>
            <color theme="1"/>
            <rFont val="Calibri"/>
            <family val="2"/>
            <scheme val="minor"/>
          </rPr>
          <t>Introduzca la fecha de inicio del proceso, en formato dd-mm-aaaa</t>
        </r>
      </text>
    </comment>
    <comment ref="F1384" authorId="2" shapeId="0" xr:uid="{A32D18BE-7BA7-4295-8EB8-F512EC09B0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2" shapeId="0" xr:uid="{8B761742-B1E1-4847-BFA2-AE09738BC0B1}">
      <text/>
    </comment>
    <comment ref="C1386" authorId="2" shapeId="0" xr:uid="{575D6F4F-4BA4-40A5-895B-B9CFEE55DFC9}">
      <text>
        <r>
          <rPr>
            <sz val="11"/>
            <color theme="1"/>
            <rFont val="Calibri"/>
            <family val="2"/>
            <scheme val="minor"/>
          </rPr>
          <t>Introduzca la fecha prevista de adjudicación, en formato dd-mm-aaaa</t>
        </r>
      </text>
    </comment>
    <comment ref="F1386" authorId="2" shapeId="0" xr:uid="{5E63D734-0DEF-4149-BA1F-E7229F6E9D8E}">
      <text/>
    </comment>
    <comment ref="F1387" authorId="2" shapeId="0" xr:uid="{77EF1D25-CD1F-4749-AEF3-45526F9F07EE}">
      <text/>
    </comment>
    <comment ref="A1389" authorId="2" shapeId="0" xr:uid="{EDBAC652-7F2C-477D-8FE3-C4AC27ACBC03}">
      <text>
        <r>
          <rPr>
            <sz val="11"/>
            <color theme="1"/>
            <rFont val="Calibri"/>
            <family val="2"/>
            <scheme val="minor"/>
          </rPr>
          <t>Introduzca un codigo UNSPSC</t>
        </r>
      </text>
    </comment>
    <comment ref="B1389" authorId="2" shapeId="0" xr:uid="{0AEE94A6-111A-48EB-A8D5-CC0CBDBE7F65}">
      <text>
        <r>
          <rPr>
            <sz val="11"/>
            <color theme="1"/>
            <rFont val="Calibri"/>
            <family val="2"/>
            <scheme val="minor"/>
          </rPr>
          <t>Descripción calculada automáticamente a partir de código del artículo</t>
        </r>
      </text>
    </comment>
    <comment ref="C1389" authorId="2" shapeId="0" xr:uid="{5FAAC2C6-F3E5-4865-9770-F4A5FF81C2FC}">
      <text>
        <r>
          <rPr>
            <sz val="11"/>
            <color theme="1"/>
            <rFont val="Calibri"/>
            <family val="2"/>
            <scheme val="minor"/>
          </rPr>
          <t>Seleccione un valor de la lista</t>
        </r>
      </text>
    </comment>
    <comment ref="D1389" authorId="2" shapeId="0" xr:uid="{6E39CA23-A82B-407B-B46B-10040DA72146}">
      <text>
        <r>
          <rPr>
            <sz val="11"/>
            <color theme="1"/>
            <rFont val="Calibri"/>
            <family val="2"/>
            <scheme val="minor"/>
          </rPr>
          <t>Introduzca un número con dos decimales como máximo. Debe ser igual o mayor a la "Cantidad Real Consumida"</t>
        </r>
      </text>
    </comment>
    <comment ref="E1389" authorId="2" shapeId="0" xr:uid="{D6205B05-46CA-44BE-BEA0-AA20548D8783}">
      <text>
        <r>
          <rPr>
            <sz val="11"/>
            <color theme="1"/>
            <rFont val="Calibri"/>
            <family val="2"/>
            <scheme val="minor"/>
          </rPr>
          <t>Introduzca un número con dos decimales como máximo</t>
        </r>
      </text>
    </comment>
    <comment ref="F1389" authorId="2" shapeId="0" xr:uid="{87EF0F30-64DF-499D-9EA3-2BA6CD7683F4}">
      <text>
        <r>
          <rPr>
            <sz val="11"/>
            <color theme="1"/>
            <rFont val="Calibri"/>
            <family val="2"/>
            <scheme val="minor"/>
          </rPr>
          <t>Monto calculado automáticamente por el sistema</t>
        </r>
      </text>
    </comment>
    <comment ref="A1394" authorId="2" shapeId="0" xr:uid="{92D0F0D8-D5D3-4502-B674-864495B7ABD7}">
      <text>
        <r>
          <rPr>
            <sz val="11"/>
            <color theme="1"/>
            <rFont val="Calibri"/>
            <family val="2"/>
            <scheme val="minor"/>
          </rPr>
          <t>Introducir un texto con el nombre o referencia de la contratación</t>
        </r>
      </text>
    </comment>
    <comment ref="B1394" authorId="2" shapeId="0" xr:uid="{1953B5DA-A922-4E79-936B-950A9A5CD1C0}">
      <text>
        <r>
          <rPr>
            <sz val="11"/>
            <color theme="1"/>
            <rFont val="Calibri"/>
            <family val="2"/>
            <scheme val="minor"/>
          </rPr>
          <t>Introduzca un texto con la finalidad de la contratación</t>
        </r>
      </text>
    </comment>
    <comment ref="C1394" authorId="2" shapeId="0" xr:uid="{68CF325C-C8B4-487B-BC6F-85EE3F8DE1B0}">
      <text>
        <r>
          <rPr>
            <sz val="11"/>
            <color theme="1"/>
            <rFont val="Calibri"/>
            <family val="2"/>
            <scheme val="minor"/>
          </rPr>
          <t>Seleccionar un valor del listado</t>
        </r>
      </text>
    </comment>
    <comment ref="D1394" authorId="2" shapeId="0" xr:uid="{16734107-1063-4E43-8352-6343755B52AA}">
      <text>
        <r>
          <rPr>
            <sz val="11"/>
            <color theme="1"/>
            <rFont val="Calibri"/>
            <family val="2"/>
            <scheme val="minor"/>
          </rPr>
          <t>Seleccione el tipo de procedimiento</t>
        </r>
      </text>
    </comment>
    <comment ref="E1394" authorId="2" shapeId="0" xr:uid="{D8CBE1AD-FF0F-4E4F-832F-1C07FEF4401B}">
      <text>
        <r>
          <rPr>
            <sz val="11"/>
            <color theme="1"/>
            <rFont val="Calibri"/>
            <family val="2"/>
            <scheme val="minor"/>
          </rPr>
          <t>Seleccione un valor de la lista</t>
        </r>
      </text>
    </comment>
    <comment ref="F1394" authorId="2" shapeId="0" xr:uid="{0C1C3BF7-10AB-4F57-9DC6-1D4BB7DCA449}">
      <text>
        <r>
          <rPr>
            <sz val="11"/>
            <color theme="1"/>
            <rFont val="Calibri"/>
            <family val="2"/>
            <scheme val="minor"/>
          </rPr>
          <t>Introduzca el código SNIP</t>
        </r>
      </text>
    </comment>
    <comment ref="C1395" authorId="2" shapeId="0" xr:uid="{26BC161B-9D24-455D-8D7A-31CE29017E4A}">
      <text>
        <r>
          <rPr>
            <sz val="11"/>
            <color theme="1"/>
            <rFont val="Calibri"/>
            <family val="2"/>
            <scheme val="minor"/>
          </rPr>
          <t>Introduzca la fecha de inicio del proceso, en formato dd-mm-aaaa</t>
        </r>
      </text>
    </comment>
    <comment ref="F1395" authorId="2" shapeId="0" xr:uid="{373F8E1D-3006-41E1-8296-09B168CDC3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xr:uid="{4478264F-4D5E-4E03-A8F6-EDC0E599C3A9}">
      <text/>
    </comment>
    <comment ref="C1397" authorId="2" shapeId="0" xr:uid="{2D96D027-F4CC-4544-AB2A-8CD43DEA5C3D}">
      <text>
        <r>
          <rPr>
            <sz val="11"/>
            <color theme="1"/>
            <rFont val="Calibri"/>
            <family val="2"/>
            <scheme val="minor"/>
          </rPr>
          <t>Introduzca la fecha prevista de adjudicación, en formato dd-mm-aaaa</t>
        </r>
      </text>
    </comment>
    <comment ref="F1397" authorId="2" shapeId="0" xr:uid="{52773305-3BD8-4E9A-8816-55515224280F}">
      <text/>
    </comment>
    <comment ref="F1398" authorId="2" shapeId="0" xr:uid="{9B933A06-174B-49A0-9D23-DDBE47E85F9B}">
      <text/>
    </comment>
    <comment ref="A1400" authorId="2" shapeId="0" xr:uid="{0F7EC53F-9C47-45C4-84FD-207EAB8025EA}">
      <text>
        <r>
          <rPr>
            <sz val="11"/>
            <color theme="1"/>
            <rFont val="Calibri"/>
            <family val="2"/>
            <scheme val="minor"/>
          </rPr>
          <t>Introduzca un codigo UNSPSC</t>
        </r>
      </text>
    </comment>
    <comment ref="B1400" authorId="2" shapeId="0" xr:uid="{35CEF254-F584-4F69-9D24-414FACCA53E0}">
      <text>
        <r>
          <rPr>
            <sz val="11"/>
            <color theme="1"/>
            <rFont val="Calibri"/>
            <family val="2"/>
            <scheme val="minor"/>
          </rPr>
          <t>Descripción calculada automáticamente a partir de código del artículo</t>
        </r>
      </text>
    </comment>
    <comment ref="C1400" authorId="2" shapeId="0" xr:uid="{54EFCA98-5C8F-4BC5-95E1-871794444A1C}">
      <text>
        <r>
          <rPr>
            <sz val="11"/>
            <color theme="1"/>
            <rFont val="Calibri"/>
            <family val="2"/>
            <scheme val="minor"/>
          </rPr>
          <t>Seleccione un valor de la lista</t>
        </r>
      </text>
    </comment>
    <comment ref="D1400" authorId="2" shapeId="0" xr:uid="{01897799-FC85-4B5B-9C58-DF201F37592D}">
      <text>
        <r>
          <rPr>
            <sz val="11"/>
            <color theme="1"/>
            <rFont val="Calibri"/>
            <family val="2"/>
            <scheme val="minor"/>
          </rPr>
          <t>Introduzca un número con dos decimales como máximo. Debe ser igual o mayor a la "Cantidad Real Consumida"</t>
        </r>
      </text>
    </comment>
    <comment ref="E1400" authorId="2" shapeId="0" xr:uid="{44CE87C0-CA7D-45D1-8FCE-C730B36C71B4}">
      <text>
        <r>
          <rPr>
            <sz val="11"/>
            <color theme="1"/>
            <rFont val="Calibri"/>
            <family val="2"/>
            <scheme val="minor"/>
          </rPr>
          <t>Introduzca un número con dos decimales como máximo</t>
        </r>
      </text>
    </comment>
    <comment ref="F1400" authorId="2" shapeId="0" xr:uid="{7C46F1B1-C6BB-4204-B5F7-6037AB6C06C5}">
      <text>
        <r>
          <rPr>
            <sz val="11"/>
            <color theme="1"/>
            <rFont val="Calibri"/>
            <family val="2"/>
            <scheme val="minor"/>
          </rPr>
          <t>Monto calculado automáticamente por el sistema</t>
        </r>
      </text>
    </comment>
    <comment ref="A1405" authorId="2" shapeId="0" xr:uid="{396FA669-B5B7-458D-A1E1-8FD5B003F6BA}">
      <text>
        <r>
          <rPr>
            <sz val="11"/>
            <color theme="1"/>
            <rFont val="Calibri"/>
            <family val="2"/>
            <scheme val="minor"/>
          </rPr>
          <t>Introducir un texto con el nombre o referencia de la contratación</t>
        </r>
      </text>
    </comment>
    <comment ref="B1405" authorId="2" shapeId="0" xr:uid="{BA0B6AA0-530A-44A2-A77A-4B25B0B47FBA}">
      <text>
        <r>
          <rPr>
            <sz val="11"/>
            <color theme="1"/>
            <rFont val="Calibri"/>
            <family val="2"/>
            <scheme val="minor"/>
          </rPr>
          <t>Introduzca un texto con la finalidad de la contratación</t>
        </r>
      </text>
    </comment>
    <comment ref="C1405" authorId="2" shapeId="0" xr:uid="{390BE719-04F8-4034-A96B-84C90D65165B}">
      <text>
        <r>
          <rPr>
            <sz val="11"/>
            <color theme="1"/>
            <rFont val="Calibri"/>
            <family val="2"/>
            <scheme val="minor"/>
          </rPr>
          <t>Seleccionar un valor del listado</t>
        </r>
      </text>
    </comment>
    <comment ref="D1405" authorId="2" shapeId="0" xr:uid="{612672DA-F38E-4303-BDC9-59543876BD6E}">
      <text>
        <r>
          <rPr>
            <sz val="11"/>
            <color theme="1"/>
            <rFont val="Calibri"/>
            <family val="2"/>
            <scheme val="minor"/>
          </rPr>
          <t>Seleccione el tipo de procedimiento</t>
        </r>
      </text>
    </comment>
    <comment ref="E1405" authorId="2" shapeId="0" xr:uid="{5A568067-CA6D-4A05-A3C8-58C9F4BABED5}">
      <text>
        <r>
          <rPr>
            <sz val="11"/>
            <color theme="1"/>
            <rFont val="Calibri"/>
            <family val="2"/>
            <scheme val="minor"/>
          </rPr>
          <t>Seleccione un valor de la lista</t>
        </r>
      </text>
    </comment>
    <comment ref="F1405" authorId="2" shapeId="0" xr:uid="{4710848D-2E6E-4272-A104-AFA5525D18FD}">
      <text>
        <r>
          <rPr>
            <sz val="11"/>
            <color theme="1"/>
            <rFont val="Calibri"/>
            <family val="2"/>
            <scheme val="minor"/>
          </rPr>
          <t>Introduzca el código SNIP</t>
        </r>
      </text>
    </comment>
    <comment ref="C1406" authorId="2" shapeId="0" xr:uid="{8CA5884F-918F-4E87-924D-33FDCD186FD8}">
      <text>
        <r>
          <rPr>
            <sz val="11"/>
            <color theme="1"/>
            <rFont val="Calibri"/>
            <family val="2"/>
            <scheme val="minor"/>
          </rPr>
          <t>Introduzca la fecha de inicio del proceso, en formato dd-mm-aaaa</t>
        </r>
      </text>
    </comment>
    <comment ref="F1406" authorId="2" shapeId="0" xr:uid="{2C1BC4A1-C4AD-477B-90C2-EEB1E45890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2" shapeId="0" xr:uid="{E75C14D2-8092-465A-8A58-C3D3B5A5AB84}">
      <text/>
    </comment>
    <comment ref="C1408" authorId="2" shapeId="0" xr:uid="{35F3862D-8F0E-4316-83D0-260BE0C8E811}">
      <text>
        <r>
          <rPr>
            <sz val="11"/>
            <color theme="1"/>
            <rFont val="Calibri"/>
            <family val="2"/>
            <scheme val="minor"/>
          </rPr>
          <t>Introduzca la fecha prevista de adjudicación, en formato dd-mm-aaaa</t>
        </r>
      </text>
    </comment>
    <comment ref="F1408" authorId="2" shapeId="0" xr:uid="{138A9C13-9596-4F73-8620-B05C82F54FA3}">
      <text/>
    </comment>
    <comment ref="F1409" authorId="2" shapeId="0" xr:uid="{032A0AFB-D83E-4451-A939-886F983F524D}">
      <text/>
    </comment>
    <comment ref="A1411" authorId="2" shapeId="0" xr:uid="{7071D082-1912-4EB1-8B4C-C3EF0CB186BD}">
      <text>
        <r>
          <rPr>
            <sz val="11"/>
            <color theme="1"/>
            <rFont val="Calibri"/>
            <family val="2"/>
            <scheme val="minor"/>
          </rPr>
          <t>Introduzca un codigo UNSPSC</t>
        </r>
      </text>
    </comment>
    <comment ref="B1411" authorId="2" shapeId="0" xr:uid="{24CF5CCC-6A57-414A-AFD6-72F3DF0E3341}">
      <text>
        <r>
          <rPr>
            <sz val="11"/>
            <color theme="1"/>
            <rFont val="Calibri"/>
            <family val="2"/>
            <scheme val="minor"/>
          </rPr>
          <t>Descripción calculada automáticamente a partir de código del artículo</t>
        </r>
      </text>
    </comment>
    <comment ref="C1411" authorId="2" shapeId="0" xr:uid="{DBA60613-4CDD-4FAA-AF49-3863389E38A8}">
      <text>
        <r>
          <rPr>
            <sz val="11"/>
            <color theme="1"/>
            <rFont val="Calibri"/>
            <family val="2"/>
            <scheme val="minor"/>
          </rPr>
          <t>Seleccione un valor de la lista</t>
        </r>
      </text>
    </comment>
    <comment ref="D1411" authorId="2" shapeId="0" xr:uid="{CB3B1FC9-3DF4-4B66-AA71-D990235A2757}">
      <text>
        <r>
          <rPr>
            <sz val="11"/>
            <color theme="1"/>
            <rFont val="Calibri"/>
            <family val="2"/>
            <scheme val="minor"/>
          </rPr>
          <t>Introduzca un número con dos decimales como máximo. Debe ser igual o mayor a la "Cantidad Real Consumida"</t>
        </r>
      </text>
    </comment>
    <comment ref="E1411" authorId="2" shapeId="0" xr:uid="{B452FCFE-504C-46EC-897D-289396C5D21A}">
      <text>
        <r>
          <rPr>
            <sz val="11"/>
            <color theme="1"/>
            <rFont val="Calibri"/>
            <family val="2"/>
            <scheme val="minor"/>
          </rPr>
          <t>Introduzca un número con dos decimales como máximo</t>
        </r>
      </text>
    </comment>
    <comment ref="F1411" authorId="2" shapeId="0" xr:uid="{D9AD8A94-5E82-4081-A0BD-74BD240CFBD6}">
      <text>
        <r>
          <rPr>
            <sz val="11"/>
            <color theme="1"/>
            <rFont val="Calibri"/>
            <family val="2"/>
            <scheme val="minor"/>
          </rPr>
          <t>Monto calculado automáticamente por el sistema</t>
        </r>
      </text>
    </comment>
    <comment ref="A1416" authorId="2" shapeId="0" xr:uid="{A9589EFA-8108-4435-B1EE-FED4E1CEA8EF}">
      <text>
        <r>
          <rPr>
            <sz val="11"/>
            <color theme="1"/>
            <rFont val="Calibri"/>
            <family val="2"/>
            <scheme val="minor"/>
          </rPr>
          <t>Introducir un texto con el nombre o referencia de la contratación</t>
        </r>
      </text>
    </comment>
    <comment ref="B1416" authorId="2" shapeId="0" xr:uid="{6BF27408-9619-4DF1-8A7A-4E9E33552959}">
      <text>
        <r>
          <rPr>
            <sz val="11"/>
            <color theme="1"/>
            <rFont val="Calibri"/>
            <family val="2"/>
            <scheme val="minor"/>
          </rPr>
          <t>Introduzca un texto con la finalidad de la contratación</t>
        </r>
      </text>
    </comment>
    <comment ref="C1416" authorId="2" shapeId="0" xr:uid="{021E7086-3ADF-497B-9E19-E24A36634C19}">
      <text>
        <r>
          <rPr>
            <sz val="11"/>
            <color theme="1"/>
            <rFont val="Calibri"/>
            <family val="2"/>
            <scheme val="minor"/>
          </rPr>
          <t>Seleccionar un valor del listado</t>
        </r>
      </text>
    </comment>
    <comment ref="D1416" authorId="2" shapeId="0" xr:uid="{10A4F935-7A97-45CD-9CD4-575EEB70CD29}">
      <text>
        <r>
          <rPr>
            <sz val="11"/>
            <color theme="1"/>
            <rFont val="Calibri"/>
            <family val="2"/>
            <scheme val="minor"/>
          </rPr>
          <t>Seleccione el tipo de procedimiento</t>
        </r>
      </text>
    </comment>
    <comment ref="E1416" authorId="2" shapeId="0" xr:uid="{39F7C71B-50F3-439A-B85D-25F72F3FAAB1}">
      <text>
        <r>
          <rPr>
            <sz val="11"/>
            <color theme="1"/>
            <rFont val="Calibri"/>
            <family val="2"/>
            <scheme val="minor"/>
          </rPr>
          <t>Seleccione un valor de la lista</t>
        </r>
      </text>
    </comment>
    <comment ref="F1416" authorId="2" shapeId="0" xr:uid="{8A2C5542-0C9A-409B-BE10-F88C333161C7}">
      <text>
        <r>
          <rPr>
            <sz val="11"/>
            <color theme="1"/>
            <rFont val="Calibri"/>
            <family val="2"/>
            <scheme val="minor"/>
          </rPr>
          <t>Introduzca el código SNIP</t>
        </r>
      </text>
    </comment>
    <comment ref="C1417" authorId="2" shapeId="0" xr:uid="{88BE5552-679A-4636-8A00-69AE11E3792C}">
      <text>
        <r>
          <rPr>
            <sz val="11"/>
            <color theme="1"/>
            <rFont val="Calibri"/>
            <family val="2"/>
            <scheme val="minor"/>
          </rPr>
          <t>Introduzca la fecha de inicio del proceso, en formato dd-mm-aaaa</t>
        </r>
      </text>
    </comment>
    <comment ref="F1417" authorId="2" shapeId="0" xr:uid="{83FF4758-211F-40DD-8918-1FD904014A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E47E20A9-7554-4375-9546-B8420332FADD}">
      <text/>
    </comment>
    <comment ref="C1419" authorId="2" shapeId="0" xr:uid="{9476445B-6D45-4C66-B283-6BB5CC3CD75C}">
      <text>
        <r>
          <rPr>
            <sz val="11"/>
            <color theme="1"/>
            <rFont val="Calibri"/>
            <family val="2"/>
            <scheme val="minor"/>
          </rPr>
          <t>Introduzca la fecha prevista de adjudicación, en formato dd-mm-aaaa</t>
        </r>
      </text>
    </comment>
    <comment ref="F1419" authorId="2" shapeId="0" xr:uid="{9E6EBF1F-28A5-4717-9B11-437B965CABD4}">
      <text/>
    </comment>
    <comment ref="F1420" authorId="2" shapeId="0" xr:uid="{F419AA82-7E3E-4C2A-8571-A6764AAB81ED}">
      <text/>
    </comment>
    <comment ref="A1422" authorId="2" shapeId="0" xr:uid="{57995418-5D39-4C79-A296-5FE96D098327}">
      <text>
        <r>
          <rPr>
            <sz val="11"/>
            <color theme="1"/>
            <rFont val="Calibri"/>
            <family val="2"/>
            <scheme val="minor"/>
          </rPr>
          <t>Introduzca un codigo UNSPSC</t>
        </r>
      </text>
    </comment>
    <comment ref="B1422" authorId="2" shapeId="0" xr:uid="{8986E36F-9E3F-4BE8-B46A-FFCABE48B961}">
      <text>
        <r>
          <rPr>
            <sz val="11"/>
            <color theme="1"/>
            <rFont val="Calibri"/>
            <family val="2"/>
            <scheme val="minor"/>
          </rPr>
          <t>Descripción calculada automáticamente a partir de código del artículo</t>
        </r>
      </text>
    </comment>
    <comment ref="C1422" authorId="2" shapeId="0" xr:uid="{D4920CE5-5432-402D-BD9E-9D31CA2B9902}">
      <text>
        <r>
          <rPr>
            <sz val="11"/>
            <color theme="1"/>
            <rFont val="Calibri"/>
            <family val="2"/>
            <scheme val="minor"/>
          </rPr>
          <t>Seleccione un valor de la lista</t>
        </r>
      </text>
    </comment>
    <comment ref="D1422" authorId="2" shapeId="0" xr:uid="{34424F35-7B34-448F-B4E5-78EA4695C249}">
      <text>
        <r>
          <rPr>
            <sz val="11"/>
            <color theme="1"/>
            <rFont val="Calibri"/>
            <family val="2"/>
            <scheme val="minor"/>
          </rPr>
          <t>Introduzca un número con dos decimales como máximo. Debe ser igual o mayor a la "Cantidad Real Consumida"</t>
        </r>
      </text>
    </comment>
    <comment ref="E1422" authorId="2" shapeId="0" xr:uid="{9471D6F4-3183-4A11-A394-7B500957206B}">
      <text>
        <r>
          <rPr>
            <sz val="11"/>
            <color theme="1"/>
            <rFont val="Calibri"/>
            <family val="2"/>
            <scheme val="minor"/>
          </rPr>
          <t>Introduzca un número con dos decimales como máximo</t>
        </r>
      </text>
    </comment>
    <comment ref="F1422" authorId="2" shapeId="0" xr:uid="{009F9148-1A4E-45C2-8992-2F2AF95F5BB8}">
      <text>
        <r>
          <rPr>
            <sz val="11"/>
            <color theme="1"/>
            <rFont val="Calibri"/>
            <family val="2"/>
            <scheme val="minor"/>
          </rPr>
          <t>Monto calculado automáticamente por el sistema</t>
        </r>
      </text>
    </comment>
    <comment ref="A1427" authorId="2" shapeId="0" xr:uid="{603BE0B0-7348-4883-BEB5-7B97804944F7}">
      <text>
        <r>
          <rPr>
            <sz val="11"/>
            <color theme="1"/>
            <rFont val="Calibri"/>
            <family val="2"/>
            <scheme val="minor"/>
          </rPr>
          <t>Introducir un texto con el nombre o referencia de la contratación</t>
        </r>
      </text>
    </comment>
    <comment ref="B1427" authorId="2" shapeId="0" xr:uid="{7878692F-5068-4BE6-BD20-CFA6F4793395}">
      <text>
        <r>
          <rPr>
            <sz val="11"/>
            <color theme="1"/>
            <rFont val="Calibri"/>
            <family val="2"/>
            <scheme val="minor"/>
          </rPr>
          <t>Introduzca un texto con la finalidad de la contratación</t>
        </r>
      </text>
    </comment>
    <comment ref="C1427" authorId="2" shapeId="0" xr:uid="{339C5017-3782-4A01-968B-45601336B175}">
      <text>
        <r>
          <rPr>
            <sz val="11"/>
            <color theme="1"/>
            <rFont val="Calibri"/>
            <family val="2"/>
            <scheme val="minor"/>
          </rPr>
          <t>Seleccionar un valor del listado</t>
        </r>
      </text>
    </comment>
    <comment ref="D1427" authorId="2" shapeId="0" xr:uid="{297254EA-E43E-4C9F-BD06-58445E411048}">
      <text>
        <r>
          <rPr>
            <sz val="11"/>
            <color theme="1"/>
            <rFont val="Calibri"/>
            <family val="2"/>
            <scheme val="minor"/>
          </rPr>
          <t>Seleccione el tipo de procedimiento</t>
        </r>
      </text>
    </comment>
    <comment ref="E1427" authorId="2" shapeId="0" xr:uid="{242D2253-BA58-445B-A1CB-0FEDE6EC18C9}">
      <text>
        <r>
          <rPr>
            <sz val="11"/>
            <color theme="1"/>
            <rFont val="Calibri"/>
            <family val="2"/>
            <scheme val="minor"/>
          </rPr>
          <t>Seleccione un valor de la lista</t>
        </r>
      </text>
    </comment>
    <comment ref="F1427" authorId="2" shapeId="0" xr:uid="{454F5CBC-A78A-4AED-B3EF-CFD4DAFD4DF1}">
      <text>
        <r>
          <rPr>
            <sz val="11"/>
            <color theme="1"/>
            <rFont val="Calibri"/>
            <family val="2"/>
            <scheme val="minor"/>
          </rPr>
          <t>Introduzca el código SNIP</t>
        </r>
      </text>
    </comment>
    <comment ref="C1428" authorId="2" shapeId="0" xr:uid="{DB40A2EA-61C4-4F66-A235-D79E631B6840}">
      <text>
        <r>
          <rPr>
            <sz val="11"/>
            <color theme="1"/>
            <rFont val="Calibri"/>
            <family val="2"/>
            <scheme val="minor"/>
          </rPr>
          <t>Introduzca la fecha de inicio del proceso, en formato dd-mm-aaaa</t>
        </r>
      </text>
    </comment>
    <comment ref="F1428" authorId="2" shapeId="0" xr:uid="{73905830-7CEF-4499-AB1F-EAB8D96E00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2" shapeId="0" xr:uid="{46B5FE7E-75CF-4D54-B051-39224D0AC5EE}">
      <text/>
    </comment>
    <comment ref="C1430" authorId="2" shapeId="0" xr:uid="{BBC5EA71-EBD8-476B-B6C2-99E862899641}">
      <text>
        <r>
          <rPr>
            <sz val="11"/>
            <color theme="1"/>
            <rFont val="Calibri"/>
            <family val="2"/>
            <scheme val="minor"/>
          </rPr>
          <t>Introduzca la fecha prevista de adjudicación, en formato dd-mm-aaaa</t>
        </r>
      </text>
    </comment>
    <comment ref="F1430" authorId="2" shapeId="0" xr:uid="{CA920F8F-85C8-415E-8396-D5DEB711278A}">
      <text/>
    </comment>
    <comment ref="F1431" authorId="2" shapeId="0" xr:uid="{7DB61C85-1A22-49BD-BFA1-0DF9B6E9E3A9}">
      <text/>
    </comment>
    <comment ref="A1433" authorId="2" shapeId="0" xr:uid="{74BD2495-5CF4-4F9A-8A40-F168BA62B123}">
      <text>
        <r>
          <rPr>
            <sz val="11"/>
            <color theme="1"/>
            <rFont val="Calibri"/>
            <family val="2"/>
            <scheme val="minor"/>
          </rPr>
          <t>Introduzca un codigo UNSPSC</t>
        </r>
      </text>
    </comment>
    <comment ref="B1433" authorId="2" shapeId="0" xr:uid="{3EE25186-21D5-441B-AFB9-A561971CA365}">
      <text>
        <r>
          <rPr>
            <sz val="11"/>
            <color theme="1"/>
            <rFont val="Calibri"/>
            <family val="2"/>
            <scheme val="minor"/>
          </rPr>
          <t>Descripción calculada automáticamente a partir de código del artículo</t>
        </r>
      </text>
    </comment>
    <comment ref="C1433" authorId="2" shapeId="0" xr:uid="{B06BA554-B4CA-4085-BC3A-335AC5BAD7AC}">
      <text>
        <r>
          <rPr>
            <sz val="11"/>
            <color theme="1"/>
            <rFont val="Calibri"/>
            <family val="2"/>
            <scheme val="minor"/>
          </rPr>
          <t>Seleccione un valor de la lista</t>
        </r>
      </text>
    </comment>
    <comment ref="D1433" authorId="2" shapeId="0" xr:uid="{23C9C431-EB6C-40E5-820D-FC1EEB572E63}">
      <text>
        <r>
          <rPr>
            <sz val="11"/>
            <color theme="1"/>
            <rFont val="Calibri"/>
            <family val="2"/>
            <scheme val="minor"/>
          </rPr>
          <t>Introduzca un número con dos decimales como máximo. Debe ser igual o mayor a la "Cantidad Real Consumida"</t>
        </r>
      </text>
    </comment>
    <comment ref="E1433" authorId="2" shapeId="0" xr:uid="{AEBA4D5C-312F-4754-92FA-06ABD8D31442}">
      <text>
        <r>
          <rPr>
            <sz val="11"/>
            <color theme="1"/>
            <rFont val="Calibri"/>
            <family val="2"/>
            <scheme val="minor"/>
          </rPr>
          <t>Introduzca un número con dos decimales como máximo</t>
        </r>
      </text>
    </comment>
    <comment ref="F1433" authorId="2" shapeId="0" xr:uid="{B3CBD530-2CC7-4B4B-A5B9-689BCE6898A7}">
      <text>
        <r>
          <rPr>
            <sz val="11"/>
            <color theme="1"/>
            <rFont val="Calibri"/>
            <family val="2"/>
            <scheme val="minor"/>
          </rPr>
          <t>Monto calculado automáticamente por el sistema</t>
        </r>
      </text>
    </comment>
    <comment ref="A1438" authorId="2" shapeId="0" xr:uid="{E1193CCB-170D-4530-B7EF-838204572E76}">
      <text>
        <r>
          <rPr>
            <sz val="11"/>
            <color theme="1"/>
            <rFont val="Calibri"/>
            <family val="2"/>
            <scheme val="minor"/>
          </rPr>
          <t>Introducir un texto con el nombre o referencia de la contratación</t>
        </r>
      </text>
    </comment>
    <comment ref="B1438" authorId="2" shapeId="0" xr:uid="{00A7E2FA-DE2B-4AD4-9E9E-460226E404B1}">
      <text>
        <r>
          <rPr>
            <sz val="11"/>
            <color theme="1"/>
            <rFont val="Calibri"/>
            <family val="2"/>
            <scheme val="minor"/>
          </rPr>
          <t>Introduzca un texto con la finalidad de la contratación</t>
        </r>
      </text>
    </comment>
    <comment ref="C1438" authorId="2" shapeId="0" xr:uid="{784E16BC-E624-44A7-AE16-66481DE8A68A}">
      <text>
        <r>
          <rPr>
            <sz val="11"/>
            <color theme="1"/>
            <rFont val="Calibri"/>
            <family val="2"/>
            <scheme val="minor"/>
          </rPr>
          <t>Seleccionar un valor del listado</t>
        </r>
      </text>
    </comment>
    <comment ref="D1438" authorId="2" shapeId="0" xr:uid="{31FC7326-A47A-41CB-8747-8F3C773BE8B1}">
      <text>
        <r>
          <rPr>
            <sz val="11"/>
            <color theme="1"/>
            <rFont val="Calibri"/>
            <family val="2"/>
            <scheme val="minor"/>
          </rPr>
          <t>Seleccione el tipo de procedimiento</t>
        </r>
      </text>
    </comment>
    <comment ref="E1438" authorId="2" shapeId="0" xr:uid="{BC4D966D-958F-41D0-AE58-E2E6A4562E3A}">
      <text>
        <r>
          <rPr>
            <sz val="11"/>
            <color theme="1"/>
            <rFont val="Calibri"/>
            <family val="2"/>
            <scheme val="minor"/>
          </rPr>
          <t>Seleccione un valor de la lista</t>
        </r>
      </text>
    </comment>
    <comment ref="F1438" authorId="2" shapeId="0" xr:uid="{E3CE578C-6FCB-4000-AD0A-CE6A761215BC}">
      <text>
        <r>
          <rPr>
            <sz val="11"/>
            <color theme="1"/>
            <rFont val="Calibri"/>
            <family val="2"/>
            <scheme val="minor"/>
          </rPr>
          <t>Introduzca el código SNIP</t>
        </r>
      </text>
    </comment>
    <comment ref="C1439" authorId="2" shapeId="0" xr:uid="{832AE222-794A-465B-BB45-29D00C561FE7}">
      <text>
        <r>
          <rPr>
            <sz val="11"/>
            <color theme="1"/>
            <rFont val="Calibri"/>
            <family val="2"/>
            <scheme val="minor"/>
          </rPr>
          <t>Introduzca la fecha de inicio del proceso, en formato dd-mm-aaaa</t>
        </r>
      </text>
    </comment>
    <comment ref="F1439" authorId="2" shapeId="0" xr:uid="{2862EEE7-CA5D-416C-93BE-995F596497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xr:uid="{D2F46446-FFE9-45D2-B656-6C1859F25CFB}">
      <text/>
    </comment>
    <comment ref="C1441" authorId="2" shapeId="0" xr:uid="{10459130-D3B8-425D-B3FB-774C924DC309}">
      <text>
        <r>
          <rPr>
            <sz val="11"/>
            <color theme="1"/>
            <rFont val="Calibri"/>
            <family val="2"/>
            <scheme val="minor"/>
          </rPr>
          <t>Introduzca la fecha prevista de adjudicación, en formato dd-mm-aaaa</t>
        </r>
      </text>
    </comment>
    <comment ref="F1441" authorId="2" shapeId="0" xr:uid="{9A0AA4AB-9888-4235-9A75-733EE7FE33EF}">
      <text/>
    </comment>
    <comment ref="F1442" authorId="2" shapeId="0" xr:uid="{FB109DD8-7094-473F-BDFC-54A344D91022}">
      <text/>
    </comment>
    <comment ref="A1444" authorId="2" shapeId="0" xr:uid="{6288A5B9-5B8D-4020-AEBD-295E701E8610}">
      <text>
        <r>
          <rPr>
            <sz val="11"/>
            <color theme="1"/>
            <rFont val="Calibri"/>
            <family val="2"/>
            <scheme val="minor"/>
          </rPr>
          <t>Introduzca un codigo UNSPSC</t>
        </r>
      </text>
    </comment>
    <comment ref="B1444" authorId="2" shapeId="0" xr:uid="{78638A1D-0073-4935-B71A-0450E299DD90}">
      <text>
        <r>
          <rPr>
            <sz val="11"/>
            <color theme="1"/>
            <rFont val="Calibri"/>
            <family val="2"/>
            <scheme val="minor"/>
          </rPr>
          <t>Descripción calculada automáticamente a partir de código del artículo</t>
        </r>
      </text>
    </comment>
    <comment ref="C1444" authorId="2" shapeId="0" xr:uid="{605E7C7F-1E9D-4CF3-87E1-D45D920D3F37}">
      <text>
        <r>
          <rPr>
            <sz val="11"/>
            <color theme="1"/>
            <rFont val="Calibri"/>
            <family val="2"/>
            <scheme val="minor"/>
          </rPr>
          <t>Seleccione un valor de la lista</t>
        </r>
      </text>
    </comment>
    <comment ref="D1444" authorId="2" shapeId="0" xr:uid="{AB492BB7-046F-4843-AB7A-E884A0E836AE}">
      <text>
        <r>
          <rPr>
            <sz val="11"/>
            <color theme="1"/>
            <rFont val="Calibri"/>
            <family val="2"/>
            <scheme val="minor"/>
          </rPr>
          <t>Introduzca un número con dos decimales como máximo. Debe ser igual o mayor a la "Cantidad Real Consumida"</t>
        </r>
      </text>
    </comment>
    <comment ref="E1444" authorId="2" shapeId="0" xr:uid="{708D6FC7-B1B4-41ED-8BA8-E1E60A69EFD5}">
      <text>
        <r>
          <rPr>
            <sz val="11"/>
            <color theme="1"/>
            <rFont val="Calibri"/>
            <family val="2"/>
            <scheme val="minor"/>
          </rPr>
          <t>Introduzca un número con dos decimales como máximo</t>
        </r>
      </text>
    </comment>
    <comment ref="F1444" authorId="2" shapeId="0" xr:uid="{9E7BE0C2-2D11-495D-88F0-04354BC835EC}">
      <text>
        <r>
          <rPr>
            <sz val="11"/>
            <color theme="1"/>
            <rFont val="Calibri"/>
            <family val="2"/>
            <scheme val="minor"/>
          </rPr>
          <t>Monto calculado automáticamente por el sistema</t>
        </r>
      </text>
    </comment>
    <comment ref="A1449" authorId="2" shapeId="0" xr:uid="{72DDDB7A-4864-492E-91C6-4253C27D764C}">
      <text>
        <r>
          <rPr>
            <sz val="11"/>
            <color theme="1"/>
            <rFont val="Calibri"/>
            <family val="2"/>
            <scheme val="minor"/>
          </rPr>
          <t>Introducir un texto con el nombre o referencia de la contratación</t>
        </r>
      </text>
    </comment>
    <comment ref="B1449" authorId="2" shapeId="0" xr:uid="{19E57418-DB24-45B1-82EE-BF85EAE2688E}">
      <text>
        <r>
          <rPr>
            <sz val="11"/>
            <color theme="1"/>
            <rFont val="Calibri"/>
            <family val="2"/>
            <scheme val="minor"/>
          </rPr>
          <t>Introduzca un texto con la finalidad de la contratación</t>
        </r>
      </text>
    </comment>
    <comment ref="C1449" authorId="2" shapeId="0" xr:uid="{E0F12151-D10A-42F8-A1BC-7C970EEF9E19}">
      <text>
        <r>
          <rPr>
            <sz val="11"/>
            <color theme="1"/>
            <rFont val="Calibri"/>
            <family val="2"/>
            <scheme val="minor"/>
          </rPr>
          <t>Seleccionar un valor del listado</t>
        </r>
      </text>
    </comment>
    <comment ref="D1449" authorId="2" shapeId="0" xr:uid="{0A101056-ECB1-4D37-863C-08F061665E46}">
      <text>
        <r>
          <rPr>
            <sz val="11"/>
            <color theme="1"/>
            <rFont val="Calibri"/>
            <family val="2"/>
            <scheme val="minor"/>
          </rPr>
          <t>Seleccione el tipo de procedimiento</t>
        </r>
      </text>
    </comment>
    <comment ref="E1449" authorId="2" shapeId="0" xr:uid="{0B7BDF34-6286-4B67-BA66-7A5436C24CB9}">
      <text>
        <r>
          <rPr>
            <sz val="11"/>
            <color theme="1"/>
            <rFont val="Calibri"/>
            <family val="2"/>
            <scheme val="minor"/>
          </rPr>
          <t>Seleccione un valor de la lista</t>
        </r>
      </text>
    </comment>
    <comment ref="F1449" authorId="2" shapeId="0" xr:uid="{C219F71D-EE82-4381-9039-DF0CEC1421BD}">
      <text>
        <r>
          <rPr>
            <sz val="11"/>
            <color theme="1"/>
            <rFont val="Calibri"/>
            <family val="2"/>
            <scheme val="minor"/>
          </rPr>
          <t>Introduzca el código SNIP</t>
        </r>
      </text>
    </comment>
    <comment ref="C1450" authorId="2" shapeId="0" xr:uid="{D9D96CF6-8780-48EE-BEC4-96F6CC989313}">
      <text>
        <r>
          <rPr>
            <sz val="11"/>
            <color theme="1"/>
            <rFont val="Calibri"/>
            <family val="2"/>
            <scheme val="minor"/>
          </rPr>
          <t>Introduzca la fecha de inicio del proceso, en formato dd-mm-aaaa</t>
        </r>
      </text>
    </comment>
    <comment ref="F1450" authorId="2" shapeId="0" xr:uid="{0B84D204-48BE-462B-B7DD-7EFBB67A12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2" shapeId="0" xr:uid="{074AEED0-EDFF-495A-B976-F004F8B8A0F7}">
      <text/>
    </comment>
    <comment ref="C1452" authorId="2" shapeId="0" xr:uid="{FDB1E9D4-7378-4D3F-AFC5-82B9B4E37AC6}">
      <text>
        <r>
          <rPr>
            <sz val="11"/>
            <color theme="1"/>
            <rFont val="Calibri"/>
            <family val="2"/>
            <scheme val="minor"/>
          </rPr>
          <t>Introduzca la fecha prevista de adjudicación, en formato dd-mm-aaaa</t>
        </r>
      </text>
    </comment>
    <comment ref="F1452" authorId="2" shapeId="0" xr:uid="{42B0EA3F-64DC-467B-A112-28E24D8296D6}">
      <text/>
    </comment>
    <comment ref="F1453" authorId="2" shapeId="0" xr:uid="{2ADA54E0-30B1-475F-B056-8AFEEB9F6109}">
      <text/>
    </comment>
    <comment ref="A1455" authorId="2" shapeId="0" xr:uid="{C52D694F-BE93-457C-A55E-B50B5350276E}">
      <text>
        <r>
          <rPr>
            <sz val="11"/>
            <color theme="1"/>
            <rFont val="Calibri"/>
            <family val="2"/>
            <scheme val="minor"/>
          </rPr>
          <t>Introduzca un codigo UNSPSC</t>
        </r>
      </text>
    </comment>
    <comment ref="B1455" authorId="2" shapeId="0" xr:uid="{214562C9-0B0A-43D2-A4C5-32002186EEBA}">
      <text>
        <r>
          <rPr>
            <sz val="11"/>
            <color theme="1"/>
            <rFont val="Calibri"/>
            <family val="2"/>
            <scheme val="minor"/>
          </rPr>
          <t>Descripción calculada automáticamente a partir de código del artículo</t>
        </r>
      </text>
    </comment>
    <comment ref="C1455" authorId="2" shapeId="0" xr:uid="{6AA470F2-9E12-45B4-8DE3-BBEB5B6FA76A}">
      <text>
        <r>
          <rPr>
            <sz val="11"/>
            <color theme="1"/>
            <rFont val="Calibri"/>
            <family val="2"/>
            <scheme val="minor"/>
          </rPr>
          <t>Seleccione un valor de la lista</t>
        </r>
      </text>
    </comment>
    <comment ref="D1455" authorId="2" shapeId="0" xr:uid="{BAC8DB6A-2A05-44FC-8AF7-C6E20F848CCD}">
      <text>
        <r>
          <rPr>
            <sz val="11"/>
            <color theme="1"/>
            <rFont val="Calibri"/>
            <family val="2"/>
            <scheme val="minor"/>
          </rPr>
          <t>Introduzca un número con dos decimales como máximo. Debe ser igual o mayor a la "Cantidad Real Consumida"</t>
        </r>
      </text>
    </comment>
    <comment ref="E1455" authorId="2" shapeId="0" xr:uid="{94BB4745-4B85-4455-A91E-10688EC2A805}">
      <text>
        <r>
          <rPr>
            <sz val="11"/>
            <color theme="1"/>
            <rFont val="Calibri"/>
            <family val="2"/>
            <scheme val="minor"/>
          </rPr>
          <t>Introduzca un número con dos decimales como máximo</t>
        </r>
      </text>
    </comment>
    <comment ref="F1455" authorId="2" shapeId="0" xr:uid="{99A23A1D-8663-4A1F-AFCD-9C3D175AB2EA}">
      <text>
        <r>
          <rPr>
            <sz val="11"/>
            <color theme="1"/>
            <rFont val="Calibri"/>
            <family val="2"/>
            <scheme val="minor"/>
          </rPr>
          <t>Monto calculado automáticamente por el sistema</t>
        </r>
      </text>
    </comment>
    <comment ref="A1460" authorId="2" shapeId="0" xr:uid="{3C789408-10DE-408D-970C-61125EC14EBD}">
      <text>
        <r>
          <rPr>
            <sz val="11"/>
            <color theme="1"/>
            <rFont val="Calibri"/>
            <family val="2"/>
            <scheme val="minor"/>
          </rPr>
          <t>Introducir un texto con el nombre o referencia de la contratación</t>
        </r>
      </text>
    </comment>
    <comment ref="B1460" authorId="2" shapeId="0" xr:uid="{84B649F5-E10C-48F8-A6AC-105D013C23DA}">
      <text>
        <r>
          <rPr>
            <sz val="11"/>
            <color theme="1"/>
            <rFont val="Calibri"/>
            <family val="2"/>
            <scheme val="minor"/>
          </rPr>
          <t>Introduzca un texto con la finalidad de la contratación</t>
        </r>
      </text>
    </comment>
    <comment ref="C1460" authorId="2" shapeId="0" xr:uid="{3E362AE6-80B8-4B1E-ACA4-CBC3F02CF9E0}">
      <text>
        <r>
          <rPr>
            <sz val="11"/>
            <color theme="1"/>
            <rFont val="Calibri"/>
            <family val="2"/>
            <scheme val="minor"/>
          </rPr>
          <t>Seleccionar un valor del listado</t>
        </r>
      </text>
    </comment>
    <comment ref="D1460" authorId="2" shapeId="0" xr:uid="{FB0B7CA5-09DE-443C-8D98-0648A573675A}">
      <text>
        <r>
          <rPr>
            <sz val="11"/>
            <color theme="1"/>
            <rFont val="Calibri"/>
            <family val="2"/>
            <scheme val="minor"/>
          </rPr>
          <t>Seleccione el tipo de procedimiento</t>
        </r>
      </text>
    </comment>
    <comment ref="E1460" authorId="2" shapeId="0" xr:uid="{553C6C60-040F-454B-BB20-572CFD3DBF5C}">
      <text>
        <r>
          <rPr>
            <sz val="11"/>
            <color theme="1"/>
            <rFont val="Calibri"/>
            <family val="2"/>
            <scheme val="minor"/>
          </rPr>
          <t>Seleccione un valor de la lista</t>
        </r>
      </text>
    </comment>
    <comment ref="F1460" authorId="2" shapeId="0" xr:uid="{C5125391-0AE1-4E4B-890B-591B3DB765C8}">
      <text>
        <r>
          <rPr>
            <sz val="11"/>
            <color theme="1"/>
            <rFont val="Calibri"/>
            <family val="2"/>
            <scheme val="minor"/>
          </rPr>
          <t>Introduzca el código SNIP</t>
        </r>
      </text>
    </comment>
    <comment ref="C1461" authorId="2" shapeId="0" xr:uid="{E2B70A55-6186-4AC0-97F9-16474824A536}">
      <text>
        <r>
          <rPr>
            <sz val="11"/>
            <color theme="1"/>
            <rFont val="Calibri"/>
            <family val="2"/>
            <scheme val="minor"/>
          </rPr>
          <t>Introduzca la fecha de inicio del proceso, en formato dd-mm-aaaa</t>
        </r>
      </text>
    </comment>
    <comment ref="F1461" authorId="2" shapeId="0" xr:uid="{A1F8650F-DA93-4A7C-842E-AC4E3C441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2" shapeId="0" xr:uid="{42B550D9-6768-4754-BDCB-2F065625FB3A}">
      <text/>
    </comment>
    <comment ref="C1463" authorId="2" shapeId="0" xr:uid="{C2BE7820-5CFC-4E84-A47B-664DAEA89FEA}">
      <text>
        <r>
          <rPr>
            <sz val="11"/>
            <color theme="1"/>
            <rFont val="Calibri"/>
            <family val="2"/>
            <scheme val="minor"/>
          </rPr>
          <t>Introduzca la fecha prevista de adjudicación, en formato dd-mm-aaaa</t>
        </r>
      </text>
    </comment>
    <comment ref="F1463" authorId="2" shapeId="0" xr:uid="{6FBDF27A-220A-4903-9F2F-E74B81E77F60}">
      <text/>
    </comment>
    <comment ref="F1464" authorId="2" shapeId="0" xr:uid="{266F4283-ADA8-4EAD-91D4-14486116EDAD}">
      <text/>
    </comment>
    <comment ref="A1466" authorId="2" shapeId="0" xr:uid="{2B89F92F-A815-41C8-96A6-9BD1AF4640F6}">
      <text>
        <r>
          <rPr>
            <sz val="11"/>
            <color theme="1"/>
            <rFont val="Calibri"/>
            <family val="2"/>
            <scheme val="minor"/>
          </rPr>
          <t>Introduzca un codigo UNSPSC</t>
        </r>
      </text>
    </comment>
    <comment ref="B1466" authorId="2" shapeId="0" xr:uid="{7F09B1F9-8476-44EB-A54C-52632EF2E764}">
      <text>
        <r>
          <rPr>
            <sz val="11"/>
            <color theme="1"/>
            <rFont val="Calibri"/>
            <family val="2"/>
            <scheme val="minor"/>
          </rPr>
          <t>Descripción calculada automáticamente a partir de código del artículo</t>
        </r>
      </text>
    </comment>
    <comment ref="C1466" authorId="2" shapeId="0" xr:uid="{1FF4B505-F93B-41E2-B7AF-C8FB2516930B}">
      <text>
        <r>
          <rPr>
            <sz val="11"/>
            <color theme="1"/>
            <rFont val="Calibri"/>
            <family val="2"/>
            <scheme val="minor"/>
          </rPr>
          <t>Seleccione un valor de la lista</t>
        </r>
      </text>
    </comment>
    <comment ref="D1466" authorId="2" shapeId="0" xr:uid="{D9B7B94A-10F9-4B50-815D-2620ACC08ACB}">
      <text>
        <r>
          <rPr>
            <sz val="11"/>
            <color theme="1"/>
            <rFont val="Calibri"/>
            <family val="2"/>
            <scheme val="minor"/>
          </rPr>
          <t>Introduzca un número con dos decimales como máximo. Debe ser igual o mayor a la "Cantidad Real Consumida"</t>
        </r>
      </text>
    </comment>
    <comment ref="E1466" authorId="2" shapeId="0" xr:uid="{EA9D3930-E50B-418C-9EA6-0A5CE1F54049}">
      <text>
        <r>
          <rPr>
            <sz val="11"/>
            <color theme="1"/>
            <rFont val="Calibri"/>
            <family val="2"/>
            <scheme val="minor"/>
          </rPr>
          <t>Introduzca un número con dos decimales como máximo</t>
        </r>
      </text>
    </comment>
    <comment ref="F1466" authorId="2" shapeId="0" xr:uid="{4484AE9B-FB3D-44BB-8DAF-00FAE8AF680F}">
      <text>
        <r>
          <rPr>
            <sz val="11"/>
            <color theme="1"/>
            <rFont val="Calibri"/>
            <family val="2"/>
            <scheme val="minor"/>
          </rPr>
          <t>Monto calculado automáticamente por el sistema</t>
        </r>
      </text>
    </comment>
    <comment ref="A1471" authorId="2" shapeId="0" xr:uid="{7247BADE-C738-4712-927A-994EC9F0534E}">
      <text>
        <r>
          <rPr>
            <sz val="11"/>
            <color theme="1"/>
            <rFont val="Calibri"/>
            <family val="2"/>
            <scheme val="minor"/>
          </rPr>
          <t>Introducir un texto con el nombre o referencia de la contratación</t>
        </r>
      </text>
    </comment>
    <comment ref="B1471" authorId="2" shapeId="0" xr:uid="{24369219-8320-4736-A7F4-989480B3B9B7}">
      <text>
        <r>
          <rPr>
            <sz val="11"/>
            <color theme="1"/>
            <rFont val="Calibri"/>
            <family val="2"/>
            <scheme val="minor"/>
          </rPr>
          <t>Introduzca un texto con la finalidad de la contratación</t>
        </r>
      </text>
    </comment>
    <comment ref="C1471" authorId="2" shapeId="0" xr:uid="{CDE6746C-4653-4E87-8DA7-C47EF17DD87A}">
      <text>
        <r>
          <rPr>
            <sz val="11"/>
            <color theme="1"/>
            <rFont val="Calibri"/>
            <family val="2"/>
            <scheme val="minor"/>
          </rPr>
          <t>Seleccionar un valor del listado</t>
        </r>
      </text>
    </comment>
    <comment ref="D1471" authorId="2" shapeId="0" xr:uid="{86B7A940-BE23-4BC9-A1B6-F65C048337F6}">
      <text>
        <r>
          <rPr>
            <sz val="11"/>
            <color theme="1"/>
            <rFont val="Calibri"/>
            <family val="2"/>
            <scheme val="minor"/>
          </rPr>
          <t>Seleccione el tipo de procedimiento</t>
        </r>
      </text>
    </comment>
    <comment ref="E1471" authorId="2" shapeId="0" xr:uid="{71D6B17E-589F-4EE9-AA27-206D044494F7}">
      <text>
        <r>
          <rPr>
            <sz val="11"/>
            <color theme="1"/>
            <rFont val="Calibri"/>
            <family val="2"/>
            <scheme val="minor"/>
          </rPr>
          <t>Seleccione un valor de la lista</t>
        </r>
      </text>
    </comment>
    <comment ref="F1471" authorId="2" shapeId="0" xr:uid="{B53DE8A6-A040-4C1E-8420-F943E1DCD182}">
      <text>
        <r>
          <rPr>
            <sz val="11"/>
            <color theme="1"/>
            <rFont val="Calibri"/>
            <family val="2"/>
            <scheme val="minor"/>
          </rPr>
          <t>Introduzca el código SNIP</t>
        </r>
      </text>
    </comment>
    <comment ref="C1472" authorId="2" shapeId="0" xr:uid="{685352BA-FF1A-44A0-B1DB-2A32CF90A8BE}">
      <text>
        <r>
          <rPr>
            <sz val="11"/>
            <color theme="1"/>
            <rFont val="Calibri"/>
            <family val="2"/>
            <scheme val="minor"/>
          </rPr>
          <t>Introduzca la fecha de inicio del proceso, en formato dd-mm-aaaa</t>
        </r>
      </text>
    </comment>
    <comment ref="F1472" authorId="2" shapeId="0" xr:uid="{79ED8BE1-7A26-4422-9600-65F0E2CD82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xr:uid="{6C7DCA4A-A630-4C8B-9524-584F1232BF8D}">
      <text/>
    </comment>
    <comment ref="C1474" authorId="2" shapeId="0" xr:uid="{40E0BB6E-02DA-4E5C-8A94-331F44019CBE}">
      <text>
        <r>
          <rPr>
            <sz val="11"/>
            <color theme="1"/>
            <rFont val="Calibri"/>
            <family val="2"/>
            <scheme val="minor"/>
          </rPr>
          <t>Introduzca la fecha prevista de adjudicación, en formato dd-mm-aaaa</t>
        </r>
      </text>
    </comment>
    <comment ref="F1474" authorId="2" shapeId="0" xr:uid="{1E83E474-061F-4B3D-AA9A-DF76858CFD2C}">
      <text/>
    </comment>
    <comment ref="F1475" authorId="2" shapeId="0" xr:uid="{50875FA1-BD3A-42EC-849A-0E94E25C430B}">
      <text/>
    </comment>
    <comment ref="A1477" authorId="2" shapeId="0" xr:uid="{46AF70B9-25CF-474C-9A00-C56E6478C08C}">
      <text>
        <r>
          <rPr>
            <sz val="11"/>
            <color theme="1"/>
            <rFont val="Calibri"/>
            <family val="2"/>
            <scheme val="minor"/>
          </rPr>
          <t>Introduzca un codigo UNSPSC</t>
        </r>
      </text>
    </comment>
    <comment ref="B1477" authorId="2" shapeId="0" xr:uid="{A4087B34-0C8C-4E89-A823-31A7B0EC6FC1}">
      <text>
        <r>
          <rPr>
            <sz val="11"/>
            <color theme="1"/>
            <rFont val="Calibri"/>
            <family val="2"/>
            <scheme val="minor"/>
          </rPr>
          <t>Descripción calculada automáticamente a partir de código del artículo</t>
        </r>
      </text>
    </comment>
    <comment ref="C1477" authorId="2" shapeId="0" xr:uid="{D5A0D7E1-8E5E-4A71-838F-937D6B3B6710}">
      <text>
        <r>
          <rPr>
            <sz val="11"/>
            <color theme="1"/>
            <rFont val="Calibri"/>
            <family val="2"/>
            <scheme val="minor"/>
          </rPr>
          <t>Seleccione un valor de la lista</t>
        </r>
      </text>
    </comment>
    <comment ref="D1477" authorId="2" shapeId="0" xr:uid="{095376D5-F4E1-4D9E-9650-2562B4B4FAB4}">
      <text>
        <r>
          <rPr>
            <sz val="11"/>
            <color theme="1"/>
            <rFont val="Calibri"/>
            <family val="2"/>
            <scheme val="minor"/>
          </rPr>
          <t>Introduzca un número con dos decimales como máximo. Debe ser igual o mayor a la "Cantidad Real Consumida"</t>
        </r>
      </text>
    </comment>
    <comment ref="E1477" authorId="2" shapeId="0" xr:uid="{A60F4F60-EB7B-4C32-A123-B43B19BCA986}">
      <text>
        <r>
          <rPr>
            <sz val="11"/>
            <color theme="1"/>
            <rFont val="Calibri"/>
            <family val="2"/>
            <scheme val="minor"/>
          </rPr>
          <t>Introduzca un número con dos decimales como máximo</t>
        </r>
      </text>
    </comment>
    <comment ref="F1477" authorId="2" shapeId="0" xr:uid="{6612B530-EE69-42A2-9DAD-D4CED7E75732}">
      <text>
        <r>
          <rPr>
            <sz val="11"/>
            <color theme="1"/>
            <rFont val="Calibri"/>
            <family val="2"/>
            <scheme val="minor"/>
          </rPr>
          <t>Monto calculado automáticamente por el sistema</t>
        </r>
      </text>
    </comment>
    <comment ref="A1482" authorId="2" shapeId="0" xr:uid="{E06F860C-C2A6-4CA5-B2F6-E1A69B80B908}">
      <text>
        <r>
          <rPr>
            <sz val="11"/>
            <color theme="1"/>
            <rFont val="Calibri"/>
            <family val="2"/>
            <scheme val="minor"/>
          </rPr>
          <t>Introducir un texto con el nombre o referencia de la contratación</t>
        </r>
      </text>
    </comment>
    <comment ref="B1482" authorId="2" shapeId="0" xr:uid="{F1D22CDE-C414-4587-8EE2-27710ECADCFC}">
      <text>
        <r>
          <rPr>
            <sz val="11"/>
            <color theme="1"/>
            <rFont val="Calibri"/>
            <family val="2"/>
            <scheme val="minor"/>
          </rPr>
          <t>Introduzca un texto con la finalidad de la contratación</t>
        </r>
      </text>
    </comment>
    <comment ref="C1482" authorId="2" shapeId="0" xr:uid="{3089F69F-59C6-4110-9C12-5D69B160169B}">
      <text>
        <r>
          <rPr>
            <sz val="11"/>
            <color theme="1"/>
            <rFont val="Calibri"/>
            <family val="2"/>
            <scheme val="minor"/>
          </rPr>
          <t>Seleccionar un valor del listado</t>
        </r>
      </text>
    </comment>
    <comment ref="D1482" authorId="2" shapeId="0" xr:uid="{FFCCFFCF-6E13-4AD7-9AD6-9FD126A2FF27}">
      <text>
        <r>
          <rPr>
            <sz val="11"/>
            <color theme="1"/>
            <rFont val="Calibri"/>
            <family val="2"/>
            <scheme val="minor"/>
          </rPr>
          <t>Seleccione el tipo de procedimiento</t>
        </r>
      </text>
    </comment>
    <comment ref="E1482" authorId="2" shapeId="0" xr:uid="{C2CD52E6-90C6-4859-B109-D52001F1750B}">
      <text>
        <r>
          <rPr>
            <sz val="11"/>
            <color theme="1"/>
            <rFont val="Calibri"/>
            <family val="2"/>
            <scheme val="minor"/>
          </rPr>
          <t>Seleccione un valor de la lista</t>
        </r>
      </text>
    </comment>
    <comment ref="F1482" authorId="2" shapeId="0" xr:uid="{6869141D-BD22-436A-8976-B6EFE8895782}">
      <text>
        <r>
          <rPr>
            <sz val="11"/>
            <color theme="1"/>
            <rFont val="Calibri"/>
            <family val="2"/>
            <scheme val="minor"/>
          </rPr>
          <t>Introduzca el código SNIP</t>
        </r>
      </text>
    </comment>
    <comment ref="C1483" authorId="2" shapeId="0" xr:uid="{2473C71B-B490-47AE-A6C5-EEDEF3BE2DFC}">
      <text>
        <r>
          <rPr>
            <sz val="11"/>
            <color theme="1"/>
            <rFont val="Calibri"/>
            <family val="2"/>
            <scheme val="minor"/>
          </rPr>
          <t>Introduzca la fecha de inicio del proceso, en formato dd-mm-aaaa</t>
        </r>
      </text>
    </comment>
    <comment ref="F1483" authorId="2" shapeId="0" xr:uid="{2283C609-6227-4DC4-A6DE-88DC16FFBC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2" shapeId="0" xr:uid="{80A72B59-E9F3-465A-8E58-A601A15D9D26}">
      <text/>
    </comment>
    <comment ref="C1485" authorId="2" shapeId="0" xr:uid="{E562BB9A-F226-475C-88BB-AA606578C8EA}">
      <text>
        <r>
          <rPr>
            <sz val="11"/>
            <color theme="1"/>
            <rFont val="Calibri"/>
            <family val="2"/>
            <scheme val="minor"/>
          </rPr>
          <t>Introduzca la fecha prevista de adjudicación, en formato dd-mm-aaaa</t>
        </r>
      </text>
    </comment>
    <comment ref="F1485" authorId="2" shapeId="0" xr:uid="{2CC9BE00-B1E3-4649-933A-C2424804EF58}">
      <text/>
    </comment>
    <comment ref="F1486" authorId="2" shapeId="0" xr:uid="{137BA85D-8F95-4798-82BA-304329B1F05D}">
      <text/>
    </comment>
    <comment ref="A1488" authorId="2" shapeId="0" xr:uid="{0604B3A2-30B4-43E9-A9E1-0EC9C3C7607A}">
      <text>
        <r>
          <rPr>
            <sz val="11"/>
            <color theme="1"/>
            <rFont val="Calibri"/>
            <family val="2"/>
            <scheme val="minor"/>
          </rPr>
          <t>Introduzca un codigo UNSPSC</t>
        </r>
      </text>
    </comment>
    <comment ref="B1488" authorId="2" shapeId="0" xr:uid="{61570FB1-EC3A-49EF-9507-3F994802E8CF}">
      <text>
        <r>
          <rPr>
            <sz val="11"/>
            <color theme="1"/>
            <rFont val="Calibri"/>
            <family val="2"/>
            <scheme val="minor"/>
          </rPr>
          <t>Descripción calculada automáticamente a partir de código del artículo</t>
        </r>
      </text>
    </comment>
    <comment ref="C1488" authorId="2" shapeId="0" xr:uid="{A3709CC0-CA3A-4EFA-A8BF-F2B634DE2700}">
      <text>
        <r>
          <rPr>
            <sz val="11"/>
            <color theme="1"/>
            <rFont val="Calibri"/>
            <family val="2"/>
            <scheme val="minor"/>
          </rPr>
          <t>Seleccione un valor de la lista</t>
        </r>
      </text>
    </comment>
    <comment ref="D1488" authorId="2" shapeId="0" xr:uid="{3F0180F3-9B10-420F-9CE9-3DA59A8D8E22}">
      <text>
        <r>
          <rPr>
            <sz val="11"/>
            <color theme="1"/>
            <rFont val="Calibri"/>
            <family val="2"/>
            <scheme val="minor"/>
          </rPr>
          <t>Introduzca un número con dos decimales como máximo. Debe ser igual o mayor a la "Cantidad Real Consumida"</t>
        </r>
      </text>
    </comment>
    <comment ref="E1488" authorId="2" shapeId="0" xr:uid="{159E6D14-9587-4692-9665-3A6250EB7289}">
      <text>
        <r>
          <rPr>
            <sz val="11"/>
            <color theme="1"/>
            <rFont val="Calibri"/>
            <family val="2"/>
            <scheme val="minor"/>
          </rPr>
          <t>Introduzca un número con dos decimales como máximo</t>
        </r>
      </text>
    </comment>
    <comment ref="F1488" authorId="2" shapeId="0" xr:uid="{78C28262-A3D9-4729-8AEE-EC7BCF187374}">
      <text>
        <r>
          <rPr>
            <sz val="11"/>
            <color theme="1"/>
            <rFont val="Calibri"/>
            <family val="2"/>
            <scheme val="minor"/>
          </rPr>
          <t>Monto calculado automáticamente por el sistema</t>
        </r>
      </text>
    </comment>
    <comment ref="A1493" authorId="2" shapeId="0" xr:uid="{A7BDBDE9-8909-4F7C-9570-73F6650BE707}">
      <text>
        <r>
          <rPr>
            <sz val="11"/>
            <color theme="1"/>
            <rFont val="Calibri"/>
            <family val="2"/>
            <scheme val="minor"/>
          </rPr>
          <t>Introducir un texto con el nombre o referencia de la contratación</t>
        </r>
      </text>
    </comment>
    <comment ref="B1493" authorId="2" shapeId="0" xr:uid="{3E57BA99-190F-4023-B82A-3A723FEB6E10}">
      <text>
        <r>
          <rPr>
            <sz val="11"/>
            <color theme="1"/>
            <rFont val="Calibri"/>
            <family val="2"/>
            <scheme val="minor"/>
          </rPr>
          <t>Introduzca un texto con la finalidad de la contratación</t>
        </r>
      </text>
    </comment>
    <comment ref="C1493" authorId="2" shapeId="0" xr:uid="{E85E07AF-EAEE-4FEF-851A-65090FA39FEA}">
      <text>
        <r>
          <rPr>
            <sz val="11"/>
            <color theme="1"/>
            <rFont val="Calibri"/>
            <family val="2"/>
            <scheme val="minor"/>
          </rPr>
          <t>Seleccionar un valor del listado</t>
        </r>
      </text>
    </comment>
    <comment ref="D1493" authorId="2" shapeId="0" xr:uid="{FB7DA6CE-794E-4A33-9CF2-200686E07D73}">
      <text>
        <r>
          <rPr>
            <sz val="11"/>
            <color theme="1"/>
            <rFont val="Calibri"/>
            <family val="2"/>
            <scheme val="minor"/>
          </rPr>
          <t>Seleccione el tipo de procedimiento</t>
        </r>
      </text>
    </comment>
    <comment ref="E1493" authorId="2" shapeId="0" xr:uid="{6BA3EBB2-94B8-46D1-A622-A20E39B16F4A}">
      <text>
        <r>
          <rPr>
            <sz val="11"/>
            <color theme="1"/>
            <rFont val="Calibri"/>
            <family val="2"/>
            <scheme val="minor"/>
          </rPr>
          <t>Seleccione un valor de la lista</t>
        </r>
      </text>
    </comment>
    <comment ref="F1493" authorId="2" shapeId="0" xr:uid="{FBCD7FB1-7F09-4020-A4D3-7D4E4DD58BC3}">
      <text>
        <r>
          <rPr>
            <sz val="11"/>
            <color theme="1"/>
            <rFont val="Calibri"/>
            <family val="2"/>
            <scheme val="minor"/>
          </rPr>
          <t>Introduzca el código SNIP</t>
        </r>
      </text>
    </comment>
    <comment ref="C1494" authorId="2" shapeId="0" xr:uid="{3782A6CB-EAA8-4926-9F3F-FFE9317C9161}">
      <text>
        <r>
          <rPr>
            <sz val="11"/>
            <color theme="1"/>
            <rFont val="Calibri"/>
            <family val="2"/>
            <scheme val="minor"/>
          </rPr>
          <t>Introduzca la fecha de inicio del proceso, en formato dd-mm-aaaa</t>
        </r>
      </text>
    </comment>
    <comment ref="F1494" authorId="2" shapeId="0" xr:uid="{2D7C537D-6EBB-4542-AB6D-48C2023C17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xr:uid="{A628D8C1-8915-463F-BD72-EAB002EB5C38}">
      <text/>
    </comment>
    <comment ref="C1496" authorId="2" shapeId="0" xr:uid="{2053A17E-2135-4652-BE8B-8531FD7A7335}">
      <text>
        <r>
          <rPr>
            <sz val="11"/>
            <color theme="1"/>
            <rFont val="Calibri"/>
            <family val="2"/>
            <scheme val="minor"/>
          </rPr>
          <t>Introduzca la fecha prevista de adjudicación, en formato dd-mm-aaaa</t>
        </r>
      </text>
    </comment>
    <comment ref="F1496" authorId="2" shapeId="0" xr:uid="{8101CC91-871C-4B82-9323-E3044425C9FA}">
      <text/>
    </comment>
    <comment ref="F1497" authorId="2" shapeId="0" xr:uid="{B4BF62D4-EA47-4694-A5B4-B0AB460AA8E5}">
      <text/>
    </comment>
    <comment ref="A1499" authorId="2" shapeId="0" xr:uid="{0D9CE3B2-0631-4DED-B36D-8B22F7F58A70}">
      <text>
        <r>
          <rPr>
            <sz val="11"/>
            <color theme="1"/>
            <rFont val="Calibri"/>
            <family val="2"/>
            <scheme val="minor"/>
          </rPr>
          <t>Introduzca un codigo UNSPSC</t>
        </r>
      </text>
    </comment>
    <comment ref="B1499" authorId="2" shapeId="0" xr:uid="{2DDA02FE-7379-4B94-A24B-D8168A8257B8}">
      <text>
        <r>
          <rPr>
            <sz val="11"/>
            <color theme="1"/>
            <rFont val="Calibri"/>
            <family val="2"/>
            <scheme val="minor"/>
          </rPr>
          <t>Descripción calculada automáticamente a partir de código del artículo</t>
        </r>
      </text>
    </comment>
    <comment ref="C1499" authorId="2" shapeId="0" xr:uid="{5F95F51C-2BE7-4F02-82C2-076B0FB02004}">
      <text>
        <r>
          <rPr>
            <sz val="11"/>
            <color theme="1"/>
            <rFont val="Calibri"/>
            <family val="2"/>
            <scheme val="minor"/>
          </rPr>
          <t>Seleccione un valor de la lista</t>
        </r>
      </text>
    </comment>
    <comment ref="D1499" authorId="2" shapeId="0" xr:uid="{022E99AF-400E-44AC-BD0F-54360AA90A4C}">
      <text>
        <r>
          <rPr>
            <sz val="11"/>
            <color theme="1"/>
            <rFont val="Calibri"/>
            <family val="2"/>
            <scheme val="minor"/>
          </rPr>
          <t>Introduzca un número con dos decimales como máximo. Debe ser igual o mayor a la "Cantidad Real Consumida"</t>
        </r>
      </text>
    </comment>
    <comment ref="E1499" authorId="2" shapeId="0" xr:uid="{F95D7850-76F9-400A-8307-4D685101B1AB}">
      <text>
        <r>
          <rPr>
            <sz val="11"/>
            <color theme="1"/>
            <rFont val="Calibri"/>
            <family val="2"/>
            <scheme val="minor"/>
          </rPr>
          <t>Introduzca un número con dos decimales como máximo</t>
        </r>
      </text>
    </comment>
    <comment ref="F1499" authorId="2" shapeId="0" xr:uid="{1D944438-D156-4A58-A4CE-418215FD3125}">
      <text>
        <r>
          <rPr>
            <sz val="11"/>
            <color theme="1"/>
            <rFont val="Calibri"/>
            <family val="2"/>
            <scheme val="minor"/>
          </rPr>
          <t>Monto calculado automáticamente por el sistema</t>
        </r>
      </text>
    </comment>
    <comment ref="A1504" authorId="2" shapeId="0" xr:uid="{62D10AAE-B83B-4758-A558-DE9AD7322D07}">
      <text>
        <r>
          <rPr>
            <sz val="11"/>
            <color theme="1"/>
            <rFont val="Calibri"/>
            <family val="2"/>
            <scheme val="minor"/>
          </rPr>
          <t>Introducir un texto con el nombre o referencia de la contratación</t>
        </r>
      </text>
    </comment>
    <comment ref="B1504" authorId="2" shapeId="0" xr:uid="{36BD73E2-6247-41B0-901F-90799FD01830}">
      <text>
        <r>
          <rPr>
            <sz val="11"/>
            <color theme="1"/>
            <rFont val="Calibri"/>
            <family val="2"/>
            <scheme val="minor"/>
          </rPr>
          <t>Introduzca un texto con la finalidad de la contratación</t>
        </r>
      </text>
    </comment>
    <comment ref="C1504" authorId="2" shapeId="0" xr:uid="{F65DF1D7-0837-4E8A-861C-B12A495F17FD}">
      <text>
        <r>
          <rPr>
            <sz val="11"/>
            <color theme="1"/>
            <rFont val="Calibri"/>
            <family val="2"/>
            <scheme val="minor"/>
          </rPr>
          <t>Seleccionar un valor del listado</t>
        </r>
      </text>
    </comment>
    <comment ref="D1504" authorId="2" shapeId="0" xr:uid="{C9110191-A225-4BE1-8B1F-0A8D97A09492}">
      <text>
        <r>
          <rPr>
            <sz val="11"/>
            <color theme="1"/>
            <rFont val="Calibri"/>
            <family val="2"/>
            <scheme val="minor"/>
          </rPr>
          <t>Seleccione el tipo de procedimiento</t>
        </r>
      </text>
    </comment>
    <comment ref="E1504" authorId="2" shapeId="0" xr:uid="{4C5E8FF5-12D4-4A1C-A764-70FD5442C1E7}">
      <text>
        <r>
          <rPr>
            <sz val="11"/>
            <color theme="1"/>
            <rFont val="Calibri"/>
            <family val="2"/>
            <scheme val="minor"/>
          </rPr>
          <t>Seleccione un valor de la lista</t>
        </r>
      </text>
    </comment>
    <comment ref="F1504" authorId="2" shapeId="0" xr:uid="{F03EF958-9E33-4289-A32A-30F2BB50CEC5}">
      <text>
        <r>
          <rPr>
            <sz val="11"/>
            <color theme="1"/>
            <rFont val="Calibri"/>
            <family val="2"/>
            <scheme val="minor"/>
          </rPr>
          <t>Introduzca el código SNIP</t>
        </r>
      </text>
    </comment>
    <comment ref="C1505" authorId="2" shapeId="0" xr:uid="{55073EAB-0CD5-43D6-A77F-EFC1C6130D7A}">
      <text>
        <r>
          <rPr>
            <sz val="11"/>
            <color theme="1"/>
            <rFont val="Calibri"/>
            <family val="2"/>
            <scheme val="minor"/>
          </rPr>
          <t>Introduzca la fecha de inicio del proceso, en formato dd-mm-aaaa</t>
        </r>
      </text>
    </comment>
    <comment ref="F1505" authorId="2" shapeId="0" xr:uid="{4374DB53-7037-459C-8D17-70F040D162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2" shapeId="0" xr:uid="{F382E287-0A37-4F20-AF11-77EB531BD1AE}">
      <text/>
    </comment>
    <comment ref="C1507" authorId="2" shapeId="0" xr:uid="{04775D36-8BD4-40DD-A3FA-62CE4D8E5EDB}">
      <text>
        <r>
          <rPr>
            <sz val="11"/>
            <color theme="1"/>
            <rFont val="Calibri"/>
            <family val="2"/>
            <scheme val="minor"/>
          </rPr>
          <t>Introduzca la fecha prevista de adjudicación, en formato dd-mm-aaaa</t>
        </r>
      </text>
    </comment>
    <comment ref="F1507" authorId="2" shapeId="0" xr:uid="{F9FBD8BD-7199-48E3-9454-B726655698A4}">
      <text/>
    </comment>
    <comment ref="F1508" authorId="2" shapeId="0" xr:uid="{C29C534E-A63A-47CF-8961-5BE3ABB14E6A}">
      <text/>
    </comment>
    <comment ref="A1510" authorId="2" shapeId="0" xr:uid="{A1CBEE58-A9F2-4E04-AF8E-2EBDA0299177}">
      <text>
        <r>
          <rPr>
            <sz val="11"/>
            <color theme="1"/>
            <rFont val="Calibri"/>
            <family val="2"/>
            <scheme val="minor"/>
          </rPr>
          <t>Introduzca un codigo UNSPSC</t>
        </r>
      </text>
    </comment>
    <comment ref="B1510" authorId="2" shapeId="0" xr:uid="{630667B8-7CCC-4763-90D1-3100D28B1847}">
      <text>
        <r>
          <rPr>
            <sz val="11"/>
            <color theme="1"/>
            <rFont val="Calibri"/>
            <family val="2"/>
            <scheme val="minor"/>
          </rPr>
          <t>Descripción calculada automáticamente a partir de código del artículo</t>
        </r>
      </text>
    </comment>
    <comment ref="C1510" authorId="2" shapeId="0" xr:uid="{3A114B0A-9FBB-4EF7-9F88-B18278956FB3}">
      <text>
        <r>
          <rPr>
            <sz val="11"/>
            <color theme="1"/>
            <rFont val="Calibri"/>
            <family val="2"/>
            <scheme val="minor"/>
          </rPr>
          <t>Seleccione un valor de la lista</t>
        </r>
      </text>
    </comment>
    <comment ref="D1510" authorId="2" shapeId="0" xr:uid="{99735048-26C3-434D-9D04-714F8DA44FDF}">
      <text>
        <r>
          <rPr>
            <sz val="11"/>
            <color theme="1"/>
            <rFont val="Calibri"/>
            <family val="2"/>
            <scheme val="minor"/>
          </rPr>
          <t>Introduzca un número con dos decimales como máximo. Debe ser igual o mayor a la "Cantidad Real Consumida"</t>
        </r>
      </text>
    </comment>
    <comment ref="E1510" authorId="2" shapeId="0" xr:uid="{33F02157-97AC-4215-9C0F-93A07D3683D0}">
      <text>
        <r>
          <rPr>
            <sz val="11"/>
            <color theme="1"/>
            <rFont val="Calibri"/>
            <family val="2"/>
            <scheme val="minor"/>
          </rPr>
          <t>Introduzca un número con dos decimales como máximo</t>
        </r>
      </text>
    </comment>
    <comment ref="F1510" authorId="2" shapeId="0" xr:uid="{F18C1E6C-E37F-407F-8E67-856C62423B2E}">
      <text>
        <r>
          <rPr>
            <sz val="11"/>
            <color theme="1"/>
            <rFont val="Calibri"/>
            <family val="2"/>
            <scheme val="minor"/>
          </rPr>
          <t>Monto calculado automáticamente por el sistema</t>
        </r>
      </text>
    </comment>
    <comment ref="A1515" authorId="2" shapeId="0" xr:uid="{F3A3DA89-8F24-4085-81CC-53F4157CC82D}">
      <text>
        <r>
          <rPr>
            <sz val="11"/>
            <color theme="1"/>
            <rFont val="Calibri"/>
            <family val="2"/>
            <scheme val="minor"/>
          </rPr>
          <t>Introducir un texto con el nombre o referencia de la contratación</t>
        </r>
      </text>
    </comment>
    <comment ref="B1515" authorId="2" shapeId="0" xr:uid="{5C99778F-0387-4424-A487-A73734F30ABB}">
      <text>
        <r>
          <rPr>
            <sz val="11"/>
            <color theme="1"/>
            <rFont val="Calibri"/>
            <family val="2"/>
            <scheme val="minor"/>
          </rPr>
          <t>Introduzca un texto con la finalidad de la contratación</t>
        </r>
      </text>
    </comment>
    <comment ref="C1515" authorId="2" shapeId="0" xr:uid="{8ACBDFFE-EA68-4FB5-B581-12F57C7F7664}">
      <text>
        <r>
          <rPr>
            <sz val="11"/>
            <color theme="1"/>
            <rFont val="Calibri"/>
            <family val="2"/>
            <scheme val="minor"/>
          </rPr>
          <t>Seleccionar un valor del listado</t>
        </r>
      </text>
    </comment>
    <comment ref="D1515" authorId="2" shapeId="0" xr:uid="{30107FAD-B0D8-4EC0-AB60-36709244C29E}">
      <text>
        <r>
          <rPr>
            <sz val="11"/>
            <color theme="1"/>
            <rFont val="Calibri"/>
            <family val="2"/>
            <scheme val="minor"/>
          </rPr>
          <t>Seleccione el tipo de procedimiento</t>
        </r>
      </text>
    </comment>
    <comment ref="E1515" authorId="2" shapeId="0" xr:uid="{E14AE183-F975-4C2D-A669-9EDA9C76117B}">
      <text>
        <r>
          <rPr>
            <sz val="11"/>
            <color theme="1"/>
            <rFont val="Calibri"/>
            <family val="2"/>
            <scheme val="minor"/>
          </rPr>
          <t>Seleccione un valor de la lista</t>
        </r>
      </text>
    </comment>
    <comment ref="F1515" authorId="2" shapeId="0" xr:uid="{319ACC5F-49B7-4879-92D2-7291B4A1FE8E}">
      <text>
        <r>
          <rPr>
            <sz val="11"/>
            <color theme="1"/>
            <rFont val="Calibri"/>
            <family val="2"/>
            <scheme val="minor"/>
          </rPr>
          <t>Introduzca el código SNIP</t>
        </r>
      </text>
    </comment>
    <comment ref="C1516" authorId="2" shapeId="0" xr:uid="{6803DF39-BAE5-446A-8D1F-57211F3E01DB}">
      <text>
        <r>
          <rPr>
            <sz val="11"/>
            <color theme="1"/>
            <rFont val="Calibri"/>
            <family val="2"/>
            <scheme val="minor"/>
          </rPr>
          <t>Introduzca la fecha de inicio del proceso, en formato dd-mm-aaaa</t>
        </r>
      </text>
    </comment>
    <comment ref="F1516" authorId="2" shapeId="0" xr:uid="{0ED8A893-B5B6-4AF5-9A57-A3BC017E35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2" shapeId="0" xr:uid="{FB0F4631-0A42-4292-BC11-209F2357837B}">
      <text/>
    </comment>
    <comment ref="C1518" authorId="2" shapeId="0" xr:uid="{52CFDCEA-88C2-4823-9364-CD90608E34CE}">
      <text>
        <r>
          <rPr>
            <sz val="11"/>
            <color theme="1"/>
            <rFont val="Calibri"/>
            <family val="2"/>
            <scheme val="minor"/>
          </rPr>
          <t>Introduzca la fecha prevista de adjudicación, en formato dd-mm-aaaa</t>
        </r>
      </text>
    </comment>
    <comment ref="F1518" authorId="2" shapeId="0" xr:uid="{C37A82C4-AA6C-43EC-83C7-25BDA7CF7FD9}">
      <text/>
    </comment>
    <comment ref="F1519" authorId="2" shapeId="0" xr:uid="{EA8668EF-44FE-4441-8C9B-982C2FEE3B8D}">
      <text/>
    </comment>
    <comment ref="A1521" authorId="2" shapeId="0" xr:uid="{AD73287D-D069-4A06-8956-AF6AAC426203}">
      <text>
        <r>
          <rPr>
            <sz val="11"/>
            <color theme="1"/>
            <rFont val="Calibri"/>
            <family val="2"/>
            <scheme val="minor"/>
          </rPr>
          <t>Introduzca un codigo UNSPSC</t>
        </r>
      </text>
    </comment>
    <comment ref="B1521" authorId="2" shapeId="0" xr:uid="{F886BD12-EC64-435B-986D-9ED17E71D173}">
      <text>
        <r>
          <rPr>
            <sz val="11"/>
            <color theme="1"/>
            <rFont val="Calibri"/>
            <family val="2"/>
            <scheme val="minor"/>
          </rPr>
          <t>Descripción calculada automáticamente a partir de código del artículo</t>
        </r>
      </text>
    </comment>
    <comment ref="C1521" authorId="2" shapeId="0" xr:uid="{B7F6B688-A96D-495D-8EEF-29C7FE095255}">
      <text>
        <r>
          <rPr>
            <sz val="11"/>
            <color theme="1"/>
            <rFont val="Calibri"/>
            <family val="2"/>
            <scheme val="minor"/>
          </rPr>
          <t>Seleccione un valor de la lista</t>
        </r>
      </text>
    </comment>
    <comment ref="D1521" authorId="2" shapeId="0" xr:uid="{514D778C-38A0-49C0-8BBF-B9942A3C150E}">
      <text>
        <r>
          <rPr>
            <sz val="11"/>
            <color theme="1"/>
            <rFont val="Calibri"/>
            <family val="2"/>
            <scheme val="minor"/>
          </rPr>
          <t>Introduzca un número con dos decimales como máximo. Debe ser igual o mayor a la "Cantidad Real Consumida"</t>
        </r>
      </text>
    </comment>
    <comment ref="E1521" authorId="2" shapeId="0" xr:uid="{C11D8087-A0EA-488E-8EAE-0B6FDD3A2078}">
      <text>
        <r>
          <rPr>
            <sz val="11"/>
            <color theme="1"/>
            <rFont val="Calibri"/>
            <family val="2"/>
            <scheme val="minor"/>
          </rPr>
          <t>Introduzca un número con dos decimales como máximo</t>
        </r>
      </text>
    </comment>
    <comment ref="F1521" authorId="2" shapeId="0" xr:uid="{F8F97C20-F0DD-46DE-899C-F78E793C284D}">
      <text>
        <r>
          <rPr>
            <sz val="11"/>
            <color theme="1"/>
            <rFont val="Calibri"/>
            <family val="2"/>
            <scheme val="minor"/>
          </rPr>
          <t>Monto calculado automáticamente por el sistema</t>
        </r>
      </text>
    </comment>
    <comment ref="A1526" authorId="2" shapeId="0" xr:uid="{7A8E1C72-6477-4B4D-AA55-9897B63ED70B}">
      <text>
        <r>
          <rPr>
            <sz val="11"/>
            <color theme="1"/>
            <rFont val="Calibri"/>
            <family val="2"/>
            <scheme val="minor"/>
          </rPr>
          <t>Introducir un texto con el nombre o referencia de la contratación</t>
        </r>
      </text>
    </comment>
    <comment ref="B1526" authorId="2" shapeId="0" xr:uid="{50060E45-E035-41B9-94D3-7B88E0AC6DF0}">
      <text>
        <r>
          <rPr>
            <sz val="11"/>
            <color theme="1"/>
            <rFont val="Calibri"/>
            <family val="2"/>
            <scheme val="minor"/>
          </rPr>
          <t>Introduzca un texto con la finalidad de la contratación</t>
        </r>
      </text>
    </comment>
    <comment ref="C1526" authorId="2" shapeId="0" xr:uid="{C80DBCDA-20C9-4C9D-BD10-86F085958E32}">
      <text>
        <r>
          <rPr>
            <sz val="11"/>
            <color theme="1"/>
            <rFont val="Calibri"/>
            <family val="2"/>
            <scheme val="minor"/>
          </rPr>
          <t>Seleccionar un valor del listado</t>
        </r>
      </text>
    </comment>
    <comment ref="D1526" authorId="2" shapeId="0" xr:uid="{022E370E-AB86-456D-AEC7-B051719ADAC2}">
      <text>
        <r>
          <rPr>
            <sz val="11"/>
            <color theme="1"/>
            <rFont val="Calibri"/>
            <family val="2"/>
            <scheme val="minor"/>
          </rPr>
          <t>Seleccione el tipo de procedimiento</t>
        </r>
      </text>
    </comment>
    <comment ref="E1526" authorId="2" shapeId="0" xr:uid="{55A02DD3-6C0C-4D56-B9C4-E744C6FF1F94}">
      <text>
        <r>
          <rPr>
            <sz val="11"/>
            <color theme="1"/>
            <rFont val="Calibri"/>
            <family val="2"/>
            <scheme val="minor"/>
          </rPr>
          <t>Seleccione un valor de la lista</t>
        </r>
      </text>
    </comment>
    <comment ref="F1526" authorId="2" shapeId="0" xr:uid="{201F8E19-3851-4968-952B-283019C7929C}">
      <text>
        <r>
          <rPr>
            <sz val="11"/>
            <color theme="1"/>
            <rFont val="Calibri"/>
            <family val="2"/>
            <scheme val="minor"/>
          </rPr>
          <t>Introduzca el código SNIP</t>
        </r>
      </text>
    </comment>
    <comment ref="C1527" authorId="2" shapeId="0" xr:uid="{C21C5DB2-019E-4D2D-9F05-BABE9B53E32A}">
      <text>
        <r>
          <rPr>
            <sz val="11"/>
            <color theme="1"/>
            <rFont val="Calibri"/>
            <family val="2"/>
            <scheme val="minor"/>
          </rPr>
          <t>Introduzca la fecha de inicio del proceso, en formato dd-mm-aaaa</t>
        </r>
      </text>
    </comment>
    <comment ref="F1527" authorId="2" shapeId="0" xr:uid="{D19DEB19-3F84-49E5-AF36-098463116D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shapeId="0" xr:uid="{EB7CA4C5-6F22-44E0-8A87-14CDF78A8BB0}">
      <text/>
    </comment>
    <comment ref="C1529" authorId="2" shapeId="0" xr:uid="{366A58BC-BEA3-4926-8916-594DF1152CF5}">
      <text>
        <r>
          <rPr>
            <sz val="11"/>
            <color theme="1"/>
            <rFont val="Calibri"/>
            <family val="2"/>
            <scheme val="minor"/>
          </rPr>
          <t>Introduzca la fecha prevista de adjudicación, en formato dd-mm-aaaa</t>
        </r>
      </text>
    </comment>
    <comment ref="F1529" authorId="2" shapeId="0" xr:uid="{A02BC560-633F-4B9C-BB90-C5E3B8823E03}">
      <text/>
    </comment>
    <comment ref="F1530" authorId="2" shapeId="0" xr:uid="{FF897549-771D-433D-8192-EA8ABF3B8A9F}">
      <text/>
    </comment>
    <comment ref="A1532" authorId="2" shapeId="0" xr:uid="{CACB8DB8-9CE4-40FB-A8D1-842C96770C8A}">
      <text>
        <r>
          <rPr>
            <sz val="11"/>
            <color theme="1"/>
            <rFont val="Calibri"/>
            <family val="2"/>
            <scheme val="minor"/>
          </rPr>
          <t>Introduzca un codigo UNSPSC</t>
        </r>
      </text>
    </comment>
    <comment ref="B1532" authorId="2" shapeId="0" xr:uid="{07AA58C2-097F-4CCB-A673-FF95FB5637B8}">
      <text>
        <r>
          <rPr>
            <sz val="11"/>
            <color theme="1"/>
            <rFont val="Calibri"/>
            <family val="2"/>
            <scheme val="minor"/>
          </rPr>
          <t>Descripción calculada automáticamente a partir de código del artículo</t>
        </r>
      </text>
    </comment>
    <comment ref="C1532" authorId="2" shapeId="0" xr:uid="{4B6F7431-C7A4-42E4-B240-90C00C025B1C}">
      <text>
        <r>
          <rPr>
            <sz val="11"/>
            <color theme="1"/>
            <rFont val="Calibri"/>
            <family val="2"/>
            <scheme val="minor"/>
          </rPr>
          <t>Seleccione un valor de la lista</t>
        </r>
      </text>
    </comment>
    <comment ref="D1532" authorId="2" shapeId="0" xr:uid="{6B052F26-3AE8-4A4C-862F-389B8B0677CC}">
      <text>
        <r>
          <rPr>
            <sz val="11"/>
            <color theme="1"/>
            <rFont val="Calibri"/>
            <family val="2"/>
            <scheme val="minor"/>
          </rPr>
          <t>Introduzca un número con dos decimales como máximo. Debe ser igual o mayor a la "Cantidad Real Consumida"</t>
        </r>
      </text>
    </comment>
    <comment ref="E1532" authorId="2" shapeId="0" xr:uid="{28F82D5B-1E56-4A99-BB5E-A98F109BDED8}">
      <text>
        <r>
          <rPr>
            <sz val="11"/>
            <color theme="1"/>
            <rFont val="Calibri"/>
            <family val="2"/>
            <scheme val="minor"/>
          </rPr>
          <t>Introduzca un número con dos decimales como máximo</t>
        </r>
      </text>
    </comment>
    <comment ref="F1532" authorId="2" shapeId="0" xr:uid="{E24EA17B-E148-4DCE-B24E-090AB28C12A8}">
      <text>
        <r>
          <rPr>
            <sz val="11"/>
            <color theme="1"/>
            <rFont val="Calibri"/>
            <family val="2"/>
            <scheme val="minor"/>
          </rPr>
          <t>Monto calculado automáticamente por el sistema</t>
        </r>
      </text>
    </comment>
    <comment ref="A1537" authorId="2" shapeId="0" xr:uid="{DF7C6A53-91D5-4CDE-97A4-A4948DD088E6}">
      <text>
        <r>
          <rPr>
            <sz val="11"/>
            <color theme="1"/>
            <rFont val="Calibri"/>
            <family val="2"/>
            <scheme val="minor"/>
          </rPr>
          <t>Introducir un texto con el nombre o referencia de la contratación</t>
        </r>
      </text>
    </comment>
    <comment ref="B1537" authorId="2" shapeId="0" xr:uid="{07FCEF5B-4524-4227-8E64-FAA675D5E175}">
      <text>
        <r>
          <rPr>
            <sz val="11"/>
            <color theme="1"/>
            <rFont val="Calibri"/>
            <family val="2"/>
            <scheme val="minor"/>
          </rPr>
          <t>Introduzca un texto con la finalidad de la contratación</t>
        </r>
      </text>
    </comment>
    <comment ref="C1537" authorId="2" shapeId="0" xr:uid="{1902578E-0532-4D22-A0BE-347237F16590}">
      <text>
        <r>
          <rPr>
            <sz val="11"/>
            <color theme="1"/>
            <rFont val="Calibri"/>
            <family val="2"/>
            <scheme val="minor"/>
          </rPr>
          <t>Seleccionar un valor del listado</t>
        </r>
      </text>
    </comment>
    <comment ref="D1537" authorId="2" shapeId="0" xr:uid="{925765A0-4F64-4D78-8E55-2F713CDDD5C9}">
      <text>
        <r>
          <rPr>
            <sz val="11"/>
            <color theme="1"/>
            <rFont val="Calibri"/>
            <family val="2"/>
            <scheme val="minor"/>
          </rPr>
          <t>Seleccione el tipo de procedimiento</t>
        </r>
      </text>
    </comment>
    <comment ref="E1537" authorId="2" shapeId="0" xr:uid="{8A643C95-DCC2-48CF-9719-8CA46783B3E3}">
      <text>
        <r>
          <rPr>
            <sz val="11"/>
            <color theme="1"/>
            <rFont val="Calibri"/>
            <family val="2"/>
            <scheme val="minor"/>
          </rPr>
          <t>Seleccione un valor de la lista</t>
        </r>
      </text>
    </comment>
    <comment ref="F1537" authorId="2" shapeId="0" xr:uid="{852D9BD9-D299-4D36-9756-4CBD15AEC65A}">
      <text>
        <r>
          <rPr>
            <sz val="11"/>
            <color theme="1"/>
            <rFont val="Calibri"/>
            <family val="2"/>
            <scheme val="minor"/>
          </rPr>
          <t>Introduzca el código SNIP</t>
        </r>
      </text>
    </comment>
    <comment ref="C1538" authorId="2" shapeId="0" xr:uid="{7F9915EF-F760-4400-88FB-1D9875787261}">
      <text>
        <r>
          <rPr>
            <sz val="11"/>
            <color theme="1"/>
            <rFont val="Calibri"/>
            <family val="2"/>
            <scheme val="minor"/>
          </rPr>
          <t>Introduzca la fecha de inicio del proceso, en formato dd-mm-aaaa</t>
        </r>
      </text>
    </comment>
    <comment ref="F1538" authorId="2" shapeId="0" xr:uid="{132733A5-4D1B-4B0C-A193-495367ED1F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shapeId="0" xr:uid="{09A1A4D0-93D0-4EBF-82DE-2C8CD35531B9}">
      <text/>
    </comment>
    <comment ref="C1540" authorId="2" shapeId="0" xr:uid="{F03878AA-7165-48AA-8AE6-9F9394E50E1E}">
      <text>
        <r>
          <rPr>
            <sz val="11"/>
            <color theme="1"/>
            <rFont val="Calibri"/>
            <family val="2"/>
            <scheme val="minor"/>
          </rPr>
          <t>Introduzca la fecha prevista de adjudicación, en formato dd-mm-aaaa</t>
        </r>
      </text>
    </comment>
    <comment ref="F1540" authorId="2" shapeId="0" xr:uid="{1C3103DE-0103-4CD1-96F2-C88130F6C957}">
      <text/>
    </comment>
    <comment ref="F1541" authorId="2" shapeId="0" xr:uid="{C586E0FB-151F-4FE4-9A6F-FB07AF60A06D}">
      <text/>
    </comment>
    <comment ref="A1543" authorId="2" shapeId="0" xr:uid="{6DEBD767-C2BD-4D8C-882E-B1C9D4393E69}">
      <text>
        <r>
          <rPr>
            <sz val="11"/>
            <color theme="1"/>
            <rFont val="Calibri"/>
            <family val="2"/>
            <scheme val="minor"/>
          </rPr>
          <t>Introduzca un codigo UNSPSC</t>
        </r>
      </text>
    </comment>
    <comment ref="B1543" authorId="2" shapeId="0" xr:uid="{688FC427-41FA-494D-A436-26FB09980FC2}">
      <text>
        <r>
          <rPr>
            <sz val="11"/>
            <color theme="1"/>
            <rFont val="Calibri"/>
            <family val="2"/>
            <scheme val="minor"/>
          </rPr>
          <t>Descripción calculada automáticamente a partir de código del artículo</t>
        </r>
      </text>
    </comment>
    <comment ref="C1543" authorId="2" shapeId="0" xr:uid="{748B736F-EADF-4A9C-8FF6-FC4746EB196F}">
      <text>
        <r>
          <rPr>
            <sz val="11"/>
            <color theme="1"/>
            <rFont val="Calibri"/>
            <family val="2"/>
            <scheme val="minor"/>
          </rPr>
          <t>Seleccione un valor de la lista</t>
        </r>
      </text>
    </comment>
    <comment ref="D1543" authorId="2" shapeId="0" xr:uid="{2AF4ECE6-37C1-4420-95CE-84D1FD883C06}">
      <text>
        <r>
          <rPr>
            <sz val="11"/>
            <color theme="1"/>
            <rFont val="Calibri"/>
            <family val="2"/>
            <scheme val="minor"/>
          </rPr>
          <t>Introduzca un número con dos decimales como máximo. Debe ser igual o mayor a la "Cantidad Real Consumida"</t>
        </r>
      </text>
    </comment>
    <comment ref="E1543" authorId="2" shapeId="0" xr:uid="{0316FF6D-6AC8-4A9D-BDC8-4C6C9A99D3B8}">
      <text>
        <r>
          <rPr>
            <sz val="11"/>
            <color theme="1"/>
            <rFont val="Calibri"/>
            <family val="2"/>
            <scheme val="minor"/>
          </rPr>
          <t>Introduzca un número con dos decimales como máximo</t>
        </r>
      </text>
    </comment>
    <comment ref="F1543" authorId="2" shapeId="0" xr:uid="{1049AEDE-D9BB-49F1-A54F-6B3C296C6255}">
      <text>
        <r>
          <rPr>
            <sz val="11"/>
            <color theme="1"/>
            <rFont val="Calibri"/>
            <family val="2"/>
            <scheme val="minor"/>
          </rPr>
          <t>Monto calculado automáticamente por el sistema</t>
        </r>
      </text>
    </comment>
    <comment ref="A1548" authorId="2" shapeId="0" xr:uid="{2E2E4DEC-5852-4EB9-9024-8280AAE74A8E}">
      <text>
        <r>
          <rPr>
            <sz val="11"/>
            <color theme="1"/>
            <rFont val="Calibri"/>
            <family val="2"/>
            <scheme val="minor"/>
          </rPr>
          <t>Introducir un texto con el nombre o referencia de la contratación</t>
        </r>
      </text>
    </comment>
    <comment ref="B1548" authorId="2" shapeId="0" xr:uid="{0BCAE198-B9C4-4F2B-9059-177B181F9FE5}">
      <text>
        <r>
          <rPr>
            <sz val="11"/>
            <color theme="1"/>
            <rFont val="Calibri"/>
            <family val="2"/>
            <scheme val="minor"/>
          </rPr>
          <t>Introduzca un texto con la finalidad de la contratación</t>
        </r>
      </text>
    </comment>
    <comment ref="C1548" authorId="2" shapeId="0" xr:uid="{DFA6F665-6B4B-40FC-A610-0A47ACFD57E0}">
      <text>
        <r>
          <rPr>
            <sz val="11"/>
            <color theme="1"/>
            <rFont val="Calibri"/>
            <family val="2"/>
            <scheme val="minor"/>
          </rPr>
          <t>Seleccionar un valor del listado</t>
        </r>
      </text>
    </comment>
    <comment ref="D1548" authorId="2" shapeId="0" xr:uid="{2CF61BDF-9DFE-424B-B439-E941E155E6BC}">
      <text>
        <r>
          <rPr>
            <sz val="11"/>
            <color theme="1"/>
            <rFont val="Calibri"/>
            <family val="2"/>
            <scheme val="minor"/>
          </rPr>
          <t>Seleccione el tipo de procedimiento</t>
        </r>
      </text>
    </comment>
    <comment ref="E1548" authorId="2" shapeId="0" xr:uid="{CC975ABD-2941-4300-B7B9-B14776D2816D}">
      <text>
        <r>
          <rPr>
            <sz val="11"/>
            <color theme="1"/>
            <rFont val="Calibri"/>
            <family val="2"/>
            <scheme val="minor"/>
          </rPr>
          <t>Seleccione un valor de la lista</t>
        </r>
      </text>
    </comment>
    <comment ref="F1548" authorId="2" shapeId="0" xr:uid="{6B4289AD-68F6-46D5-A62A-DB0D15718263}">
      <text>
        <r>
          <rPr>
            <sz val="11"/>
            <color theme="1"/>
            <rFont val="Calibri"/>
            <family val="2"/>
            <scheme val="minor"/>
          </rPr>
          <t>Introduzca el código SNIP</t>
        </r>
      </text>
    </comment>
    <comment ref="C1549" authorId="2" shapeId="0" xr:uid="{28F43232-E389-44AE-8B62-87A13439EAFD}">
      <text>
        <r>
          <rPr>
            <sz val="11"/>
            <color theme="1"/>
            <rFont val="Calibri"/>
            <family val="2"/>
            <scheme val="minor"/>
          </rPr>
          <t>Introduzca la fecha de inicio del proceso, en formato dd-mm-aaaa</t>
        </r>
      </text>
    </comment>
    <comment ref="F1549" authorId="2" shapeId="0" xr:uid="{5F61977A-3333-403C-9884-A879435334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xr:uid="{A94A6584-E1E8-4DB3-A3FE-5935E917FD68}">
      <text/>
    </comment>
    <comment ref="C1551" authorId="2" shapeId="0" xr:uid="{D9D70362-6C3F-426D-BDCE-D4F8827A3DBF}">
      <text>
        <r>
          <rPr>
            <sz val="11"/>
            <color theme="1"/>
            <rFont val="Calibri"/>
            <family val="2"/>
            <scheme val="minor"/>
          </rPr>
          <t>Introduzca la fecha prevista de adjudicación, en formato dd-mm-aaaa</t>
        </r>
      </text>
    </comment>
    <comment ref="F1551" authorId="2" shapeId="0" xr:uid="{0F4EA4AE-B793-4061-AE06-B1A02DD88649}">
      <text/>
    </comment>
    <comment ref="F1552" authorId="2" shapeId="0" xr:uid="{B7D7DD1B-6C06-4E58-8EA7-6687FFBC3B78}">
      <text/>
    </comment>
    <comment ref="A1554" authorId="2" shapeId="0" xr:uid="{75869A69-F5E9-4010-A14B-24EF9188563D}">
      <text>
        <r>
          <rPr>
            <sz val="11"/>
            <color theme="1"/>
            <rFont val="Calibri"/>
            <family val="2"/>
            <scheme val="minor"/>
          </rPr>
          <t>Introduzca un codigo UNSPSC</t>
        </r>
      </text>
    </comment>
    <comment ref="B1554" authorId="2" shapeId="0" xr:uid="{17D9D449-EBFB-4DD3-BE60-5E35E35A3B93}">
      <text>
        <r>
          <rPr>
            <sz val="11"/>
            <color theme="1"/>
            <rFont val="Calibri"/>
            <family val="2"/>
            <scheme val="minor"/>
          </rPr>
          <t>Descripción calculada automáticamente a partir de código del artículo</t>
        </r>
      </text>
    </comment>
    <comment ref="C1554" authorId="2" shapeId="0" xr:uid="{BEE94148-F26A-4667-BD2D-9E2B5086659A}">
      <text>
        <r>
          <rPr>
            <sz val="11"/>
            <color theme="1"/>
            <rFont val="Calibri"/>
            <family val="2"/>
            <scheme val="minor"/>
          </rPr>
          <t>Seleccione un valor de la lista</t>
        </r>
      </text>
    </comment>
    <comment ref="D1554" authorId="2" shapeId="0" xr:uid="{133EA119-F532-471B-9CBC-BFC1C5FA0F83}">
      <text>
        <r>
          <rPr>
            <sz val="11"/>
            <color theme="1"/>
            <rFont val="Calibri"/>
            <family val="2"/>
            <scheme val="minor"/>
          </rPr>
          <t>Introduzca un número con dos decimales como máximo. Debe ser igual o mayor a la "Cantidad Real Consumida"</t>
        </r>
      </text>
    </comment>
    <comment ref="E1554" authorId="2" shapeId="0" xr:uid="{55BDD594-9A89-425A-877A-712CE5E7F875}">
      <text>
        <r>
          <rPr>
            <sz val="11"/>
            <color theme="1"/>
            <rFont val="Calibri"/>
            <family val="2"/>
            <scheme val="minor"/>
          </rPr>
          <t>Introduzca un número con dos decimales como máximo</t>
        </r>
      </text>
    </comment>
    <comment ref="F1554" authorId="2" shapeId="0" xr:uid="{72B87B08-6285-4703-A5A9-ED41C967CC17}">
      <text>
        <r>
          <rPr>
            <sz val="11"/>
            <color theme="1"/>
            <rFont val="Calibri"/>
            <family val="2"/>
            <scheme val="minor"/>
          </rPr>
          <t>Monto calculado automáticamente por el sistema</t>
        </r>
      </text>
    </comment>
    <comment ref="A1560" authorId="2" shapeId="0" xr:uid="{70CF2818-015E-45B9-AECC-3E4DB734718A}">
      <text>
        <r>
          <rPr>
            <sz val="11"/>
            <color theme="1"/>
            <rFont val="Calibri"/>
            <family val="2"/>
            <scheme val="minor"/>
          </rPr>
          <t>Introducir un texto con el nombre o referencia de la contratación</t>
        </r>
      </text>
    </comment>
    <comment ref="B1560" authorId="2" shapeId="0" xr:uid="{150E9AD3-F1DF-4F38-B272-F9F9ECEB275F}">
      <text>
        <r>
          <rPr>
            <sz val="11"/>
            <color theme="1"/>
            <rFont val="Calibri"/>
            <family val="2"/>
            <scheme val="minor"/>
          </rPr>
          <t>Introduzca un texto con la finalidad de la contratación</t>
        </r>
      </text>
    </comment>
    <comment ref="C1560" authorId="2" shapeId="0" xr:uid="{91253145-7CF1-463C-B29F-F7A639F977D1}">
      <text>
        <r>
          <rPr>
            <sz val="11"/>
            <color theme="1"/>
            <rFont val="Calibri"/>
            <family val="2"/>
            <scheme val="minor"/>
          </rPr>
          <t>Seleccionar un valor del listado</t>
        </r>
      </text>
    </comment>
    <comment ref="D1560" authorId="2" shapeId="0" xr:uid="{B87CA766-4905-401C-8692-7916EA932E95}">
      <text>
        <r>
          <rPr>
            <sz val="11"/>
            <color theme="1"/>
            <rFont val="Calibri"/>
            <family val="2"/>
            <scheme val="minor"/>
          </rPr>
          <t>Seleccione el tipo de procedimiento</t>
        </r>
      </text>
    </comment>
    <comment ref="E1560" authorId="2" shapeId="0" xr:uid="{EF7245F3-EC20-40C1-BDD4-E00DD2EAF471}">
      <text>
        <r>
          <rPr>
            <sz val="11"/>
            <color theme="1"/>
            <rFont val="Calibri"/>
            <family val="2"/>
            <scheme val="minor"/>
          </rPr>
          <t>Seleccione un valor de la lista</t>
        </r>
      </text>
    </comment>
    <comment ref="F1560" authorId="2" shapeId="0" xr:uid="{2B28206E-A29D-411D-920C-2857231F39E2}">
      <text>
        <r>
          <rPr>
            <sz val="11"/>
            <color theme="1"/>
            <rFont val="Calibri"/>
            <family val="2"/>
            <scheme val="minor"/>
          </rPr>
          <t>Introduzca el código SNIP</t>
        </r>
      </text>
    </comment>
    <comment ref="C1561" authorId="2" shapeId="0" xr:uid="{735923CB-984F-4891-B6F5-54FA6409D1C3}">
      <text>
        <r>
          <rPr>
            <sz val="11"/>
            <color theme="1"/>
            <rFont val="Calibri"/>
            <family val="2"/>
            <scheme val="minor"/>
          </rPr>
          <t>Introduzca la fecha de inicio del proceso, en formato dd-mm-aaaa</t>
        </r>
      </text>
    </comment>
    <comment ref="F1561" authorId="2" shapeId="0" xr:uid="{ABBE714E-A9E8-4CBD-AB49-9DAFEDFDA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2" shapeId="0" xr:uid="{8271DE46-1160-4B04-B01B-DAB11BC1B031}">
      <text/>
    </comment>
    <comment ref="C1563" authorId="2" shapeId="0" xr:uid="{6D7811FD-A2CC-450E-AFC4-E5D5EBA59564}">
      <text>
        <r>
          <rPr>
            <sz val="11"/>
            <color theme="1"/>
            <rFont val="Calibri"/>
            <family val="2"/>
            <scheme val="minor"/>
          </rPr>
          <t>Introduzca la fecha prevista de adjudicación, en formato dd-mm-aaaa</t>
        </r>
      </text>
    </comment>
    <comment ref="F1563" authorId="2" shapeId="0" xr:uid="{840F1DA0-7A7B-41B8-84F0-224685B45D4D}">
      <text/>
    </comment>
    <comment ref="F1564" authorId="2" shapeId="0" xr:uid="{23A7BA34-B23A-4399-9144-41B8EBC36D49}">
      <text/>
    </comment>
    <comment ref="A1566" authorId="2" shapeId="0" xr:uid="{17EE3C97-03C0-4149-9C59-AB5A327506F4}">
      <text>
        <r>
          <rPr>
            <sz val="11"/>
            <color theme="1"/>
            <rFont val="Calibri"/>
            <family val="2"/>
            <scheme val="minor"/>
          </rPr>
          <t>Introduzca un codigo UNSPSC</t>
        </r>
      </text>
    </comment>
    <comment ref="B1566" authorId="2" shapeId="0" xr:uid="{3FFE508F-AD74-4731-BF75-7E5D43CE0805}">
      <text>
        <r>
          <rPr>
            <sz val="11"/>
            <color theme="1"/>
            <rFont val="Calibri"/>
            <family val="2"/>
            <scheme val="minor"/>
          </rPr>
          <t>Descripción calculada automáticamente a partir de código del artículo</t>
        </r>
      </text>
    </comment>
    <comment ref="C1566" authorId="2" shapeId="0" xr:uid="{749B7531-4B7B-4BB3-8653-82F8BF9D7042}">
      <text>
        <r>
          <rPr>
            <sz val="11"/>
            <color theme="1"/>
            <rFont val="Calibri"/>
            <family val="2"/>
            <scheme val="minor"/>
          </rPr>
          <t>Seleccione un valor de la lista</t>
        </r>
      </text>
    </comment>
    <comment ref="D1566" authorId="2" shapeId="0" xr:uid="{2DFA6825-461D-4256-BDBD-8F342201A403}">
      <text>
        <r>
          <rPr>
            <sz val="11"/>
            <color theme="1"/>
            <rFont val="Calibri"/>
            <family val="2"/>
            <scheme val="minor"/>
          </rPr>
          <t>Introduzca un número con dos decimales como máximo. Debe ser igual o mayor a la "Cantidad Real Consumida"</t>
        </r>
      </text>
    </comment>
    <comment ref="E1566" authorId="2" shapeId="0" xr:uid="{EB51152A-3627-4096-A324-7221EFB4E3D8}">
      <text>
        <r>
          <rPr>
            <sz val="11"/>
            <color theme="1"/>
            <rFont val="Calibri"/>
            <family val="2"/>
            <scheme val="minor"/>
          </rPr>
          <t>Introduzca un número con dos decimales como máximo</t>
        </r>
      </text>
    </comment>
    <comment ref="F1566" authorId="2" shapeId="0" xr:uid="{4AC0C8B8-C375-42CC-BC64-2B3EA6D8C1D5}">
      <text>
        <r>
          <rPr>
            <sz val="11"/>
            <color theme="1"/>
            <rFont val="Calibri"/>
            <family val="2"/>
            <scheme val="minor"/>
          </rPr>
          <t>Monto calculado automáticamente por el sistema</t>
        </r>
      </text>
    </comment>
    <comment ref="A1576" authorId="2" shapeId="0" xr:uid="{B46A2707-EA8D-4AAF-B791-1C0206A44369}">
      <text>
        <r>
          <rPr>
            <sz val="11"/>
            <color theme="1"/>
            <rFont val="Calibri"/>
            <family val="2"/>
            <scheme val="minor"/>
          </rPr>
          <t>Introducir un texto con el nombre o referencia de la contratación</t>
        </r>
      </text>
    </comment>
    <comment ref="B1576" authorId="2" shapeId="0" xr:uid="{32FF228F-7FCC-448D-BDB0-B55E37353B87}">
      <text>
        <r>
          <rPr>
            <sz val="11"/>
            <color theme="1"/>
            <rFont val="Calibri"/>
            <family val="2"/>
            <scheme val="minor"/>
          </rPr>
          <t>Introduzca un texto con la finalidad de la contratación</t>
        </r>
      </text>
    </comment>
    <comment ref="C1576" authorId="2" shapeId="0" xr:uid="{EDEA3BC7-CBCC-431A-9C92-4A92E6B867BB}">
      <text>
        <r>
          <rPr>
            <sz val="11"/>
            <color theme="1"/>
            <rFont val="Calibri"/>
            <family val="2"/>
            <scheme val="minor"/>
          </rPr>
          <t>Seleccionar un valor del listado</t>
        </r>
      </text>
    </comment>
    <comment ref="D1576" authorId="2" shapeId="0" xr:uid="{85EB3200-33C0-48B8-81FE-CEABDCB0CF76}">
      <text>
        <r>
          <rPr>
            <sz val="11"/>
            <color theme="1"/>
            <rFont val="Calibri"/>
            <family val="2"/>
            <scheme val="minor"/>
          </rPr>
          <t>Seleccione el tipo de procedimiento</t>
        </r>
      </text>
    </comment>
    <comment ref="E1576" authorId="2" shapeId="0" xr:uid="{A1E8D640-7EDB-4978-A082-D02844E47A72}">
      <text>
        <r>
          <rPr>
            <sz val="11"/>
            <color theme="1"/>
            <rFont val="Calibri"/>
            <family val="2"/>
            <scheme val="minor"/>
          </rPr>
          <t>Seleccione un valor de la lista</t>
        </r>
      </text>
    </comment>
    <comment ref="F1576" authorId="2" shapeId="0" xr:uid="{7E2F5335-7C87-4EEC-99B7-E7FBAD3A22E6}">
      <text>
        <r>
          <rPr>
            <sz val="11"/>
            <color theme="1"/>
            <rFont val="Calibri"/>
            <family val="2"/>
            <scheme val="minor"/>
          </rPr>
          <t>Introduzca el código SNIP</t>
        </r>
      </text>
    </comment>
    <comment ref="C1577" authorId="2" shapeId="0" xr:uid="{9B6A080E-C1AF-4034-B8BC-EFA0BEC91EAA}">
      <text>
        <r>
          <rPr>
            <sz val="11"/>
            <color theme="1"/>
            <rFont val="Calibri"/>
            <family val="2"/>
            <scheme val="minor"/>
          </rPr>
          <t>Introduzca la fecha de inicio del proceso, en formato dd-mm-aaaa</t>
        </r>
      </text>
    </comment>
    <comment ref="F1577" authorId="2" shapeId="0" xr:uid="{11DCFED0-B891-4C4D-A6B6-79BE6A1563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shapeId="0" xr:uid="{26EEE2E9-1EDD-4651-A731-E283C93CD7E9}">
      <text/>
    </comment>
    <comment ref="C1579" authorId="2" shapeId="0" xr:uid="{68746DD4-3D2F-4F66-8A73-2907AC4991D8}">
      <text>
        <r>
          <rPr>
            <sz val="11"/>
            <color theme="1"/>
            <rFont val="Calibri"/>
            <family val="2"/>
            <scheme val="minor"/>
          </rPr>
          <t>Introduzca la fecha prevista de adjudicación, en formato dd-mm-aaaa</t>
        </r>
      </text>
    </comment>
    <comment ref="F1579" authorId="2" shapeId="0" xr:uid="{D32BB963-B945-44E4-B88F-AD905A331D92}">
      <text/>
    </comment>
    <comment ref="F1580" authorId="2" shapeId="0" xr:uid="{A69DEC41-0587-4EF8-873C-A5CA056FD149}">
      <text/>
    </comment>
    <comment ref="A1582" authorId="2" shapeId="0" xr:uid="{2B8CE533-08F6-48D8-967F-E77E62613032}">
      <text>
        <r>
          <rPr>
            <sz val="11"/>
            <color theme="1"/>
            <rFont val="Calibri"/>
            <family val="2"/>
            <scheme val="minor"/>
          </rPr>
          <t>Introduzca un codigo UNSPSC</t>
        </r>
      </text>
    </comment>
    <comment ref="B1582" authorId="2" shapeId="0" xr:uid="{56256697-47B3-4522-83F0-4CEAAC438D70}">
      <text>
        <r>
          <rPr>
            <sz val="11"/>
            <color theme="1"/>
            <rFont val="Calibri"/>
            <family val="2"/>
            <scheme val="minor"/>
          </rPr>
          <t>Descripción calculada automáticamente a partir de código del artículo</t>
        </r>
      </text>
    </comment>
    <comment ref="C1582" authorId="2" shapeId="0" xr:uid="{52E42889-91E8-4B5A-9842-C7BA9ACE911E}">
      <text>
        <r>
          <rPr>
            <sz val="11"/>
            <color theme="1"/>
            <rFont val="Calibri"/>
            <family val="2"/>
            <scheme val="minor"/>
          </rPr>
          <t>Seleccione un valor de la lista</t>
        </r>
      </text>
    </comment>
    <comment ref="D1582" authorId="2" shapeId="0" xr:uid="{65669961-D930-4344-95C9-82EA29083FEA}">
      <text>
        <r>
          <rPr>
            <sz val="11"/>
            <color theme="1"/>
            <rFont val="Calibri"/>
            <family val="2"/>
            <scheme val="minor"/>
          </rPr>
          <t>Introduzca un número con dos decimales como máximo. Debe ser igual o mayor a la "Cantidad Real Consumida"</t>
        </r>
      </text>
    </comment>
    <comment ref="E1582" authorId="2" shapeId="0" xr:uid="{D8CB614C-B639-44C9-BFB7-6C476AEA358F}">
      <text>
        <r>
          <rPr>
            <sz val="11"/>
            <color theme="1"/>
            <rFont val="Calibri"/>
            <family val="2"/>
            <scheme val="minor"/>
          </rPr>
          <t>Introduzca un número con dos decimales como máximo</t>
        </r>
      </text>
    </comment>
    <comment ref="F1582" authorId="2" shapeId="0" xr:uid="{CE04F9E6-346F-4BEE-910F-7712AF4901EE}">
      <text>
        <r>
          <rPr>
            <sz val="11"/>
            <color theme="1"/>
            <rFont val="Calibri"/>
            <family val="2"/>
            <scheme val="minor"/>
          </rPr>
          <t>Monto calculado automáticamente por el sistema</t>
        </r>
      </text>
    </comment>
    <comment ref="A1587" authorId="2" shapeId="0" xr:uid="{1406D431-C703-453E-B8EE-F65F1840F0FB}">
      <text>
        <r>
          <rPr>
            <sz val="11"/>
            <color theme="1"/>
            <rFont val="Calibri"/>
            <family val="2"/>
            <scheme val="minor"/>
          </rPr>
          <t>Introducir un texto con el nombre o referencia de la contratación</t>
        </r>
      </text>
    </comment>
    <comment ref="B1587" authorId="2" shapeId="0" xr:uid="{D5AFC06A-1C44-4CC7-BF75-D885A4E8383E}">
      <text>
        <r>
          <rPr>
            <sz val="11"/>
            <color theme="1"/>
            <rFont val="Calibri"/>
            <family val="2"/>
            <scheme val="minor"/>
          </rPr>
          <t>Introduzca un texto con la finalidad de la contratación</t>
        </r>
      </text>
    </comment>
    <comment ref="C1587" authorId="2" shapeId="0" xr:uid="{FA46F5A4-E9C4-48B9-AD4C-BD1862C64154}">
      <text>
        <r>
          <rPr>
            <sz val="11"/>
            <color theme="1"/>
            <rFont val="Calibri"/>
            <family val="2"/>
            <scheme val="minor"/>
          </rPr>
          <t>Seleccionar un valor del listado</t>
        </r>
      </text>
    </comment>
    <comment ref="D1587" authorId="2" shapeId="0" xr:uid="{C029FA22-D1B1-4F91-8992-3FA96CD8061C}">
      <text>
        <r>
          <rPr>
            <sz val="11"/>
            <color theme="1"/>
            <rFont val="Calibri"/>
            <family val="2"/>
            <scheme val="minor"/>
          </rPr>
          <t>Seleccione el tipo de procedimiento</t>
        </r>
      </text>
    </comment>
    <comment ref="E1587" authorId="2" shapeId="0" xr:uid="{3C2616BD-C0A7-4C0D-AECC-E65F7B3B556A}">
      <text>
        <r>
          <rPr>
            <sz val="11"/>
            <color theme="1"/>
            <rFont val="Calibri"/>
            <family val="2"/>
            <scheme val="minor"/>
          </rPr>
          <t>Seleccione un valor de la lista</t>
        </r>
      </text>
    </comment>
    <comment ref="F1587" authorId="2" shapeId="0" xr:uid="{53165634-0AA3-4AB9-B495-07CFB3C597CB}">
      <text>
        <r>
          <rPr>
            <sz val="11"/>
            <color theme="1"/>
            <rFont val="Calibri"/>
            <family val="2"/>
            <scheme val="minor"/>
          </rPr>
          <t>Introduzca el código SNIP</t>
        </r>
      </text>
    </comment>
    <comment ref="C1588" authorId="2" shapeId="0" xr:uid="{FE77B4F2-337E-41F5-BB3B-0916B7759D50}">
      <text>
        <r>
          <rPr>
            <sz val="11"/>
            <color theme="1"/>
            <rFont val="Calibri"/>
            <family val="2"/>
            <scheme val="minor"/>
          </rPr>
          <t>Introduzca la fecha de inicio del proceso, en formato dd-mm-aaaa</t>
        </r>
      </text>
    </comment>
    <comment ref="F1588" authorId="2" shapeId="0" xr:uid="{759F4EA9-EE09-4612-8243-57415A9FB1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xr:uid="{A26BFE61-4121-4929-A7D7-A40248CE0357}">
      <text/>
    </comment>
    <comment ref="C1590" authorId="2" shapeId="0" xr:uid="{573B31A9-CADD-45AA-9D3E-C6594E1C19BA}">
      <text>
        <r>
          <rPr>
            <sz val="11"/>
            <color theme="1"/>
            <rFont val="Calibri"/>
            <family val="2"/>
            <scheme val="minor"/>
          </rPr>
          <t>Introduzca la fecha prevista de adjudicación, en formato dd-mm-aaaa</t>
        </r>
      </text>
    </comment>
    <comment ref="F1590" authorId="2" shapeId="0" xr:uid="{2FE58058-5D9E-4D49-B5AC-594A30209FB3}">
      <text/>
    </comment>
    <comment ref="F1591" authorId="2" shapeId="0" xr:uid="{AB489DD8-4180-43C6-BA10-CB910ECE0087}">
      <text/>
    </comment>
    <comment ref="A1593" authorId="2" shapeId="0" xr:uid="{D38ACD6F-BA8B-4905-A47F-EF15A0F6C44E}">
      <text>
        <r>
          <rPr>
            <sz val="11"/>
            <color theme="1"/>
            <rFont val="Calibri"/>
            <family val="2"/>
            <scheme val="minor"/>
          </rPr>
          <t>Introduzca un codigo UNSPSC</t>
        </r>
      </text>
    </comment>
    <comment ref="B1593" authorId="2" shapeId="0" xr:uid="{B34E81F7-8722-4408-A20E-BAB6841EFF59}">
      <text>
        <r>
          <rPr>
            <sz val="11"/>
            <color theme="1"/>
            <rFont val="Calibri"/>
            <family val="2"/>
            <scheme val="minor"/>
          </rPr>
          <t>Descripción calculada automáticamente a partir de código del artículo</t>
        </r>
      </text>
    </comment>
    <comment ref="C1593" authorId="2" shapeId="0" xr:uid="{D4D1B029-2D1C-46CE-9241-F9A1CF8DA6CC}">
      <text>
        <r>
          <rPr>
            <sz val="11"/>
            <color theme="1"/>
            <rFont val="Calibri"/>
            <family val="2"/>
            <scheme val="minor"/>
          </rPr>
          <t>Seleccione un valor de la lista</t>
        </r>
      </text>
    </comment>
    <comment ref="D1593" authorId="2" shapeId="0" xr:uid="{809FD187-37A3-4D90-ACD9-3A5D9430E83E}">
      <text>
        <r>
          <rPr>
            <sz val="11"/>
            <color theme="1"/>
            <rFont val="Calibri"/>
            <family val="2"/>
            <scheme val="minor"/>
          </rPr>
          <t>Introduzca un número con dos decimales como máximo. Debe ser igual o mayor a la "Cantidad Real Consumida"</t>
        </r>
      </text>
    </comment>
    <comment ref="E1593" authorId="2" shapeId="0" xr:uid="{BB264749-EE76-4E6F-9E6D-619B437236C3}">
      <text>
        <r>
          <rPr>
            <sz val="11"/>
            <color theme="1"/>
            <rFont val="Calibri"/>
            <family val="2"/>
            <scheme val="minor"/>
          </rPr>
          <t>Introduzca un número con dos decimales como máximo</t>
        </r>
      </text>
    </comment>
    <comment ref="F1593" authorId="2" shapeId="0" xr:uid="{984E3BCE-C95E-4B1E-AD28-10614D09787E}">
      <text>
        <r>
          <rPr>
            <sz val="11"/>
            <color theme="1"/>
            <rFont val="Calibri"/>
            <family val="2"/>
            <scheme val="minor"/>
          </rPr>
          <t>Monto calculado automáticamente por el sistema</t>
        </r>
      </text>
    </comment>
    <comment ref="A1598" authorId="2" shapeId="0" xr:uid="{D65452AE-B25B-43DD-99DB-6722B84E5055}">
      <text>
        <r>
          <rPr>
            <sz val="11"/>
            <color theme="1"/>
            <rFont val="Calibri"/>
            <family val="2"/>
            <scheme val="minor"/>
          </rPr>
          <t>Introducir un texto con el nombre o referencia de la contratación</t>
        </r>
      </text>
    </comment>
    <comment ref="B1598" authorId="2" shapeId="0" xr:uid="{891B8A5E-1529-40BB-903C-702FFBB8D623}">
      <text>
        <r>
          <rPr>
            <sz val="11"/>
            <color theme="1"/>
            <rFont val="Calibri"/>
            <family val="2"/>
            <scheme val="minor"/>
          </rPr>
          <t>Introduzca un texto con la finalidad de la contratación</t>
        </r>
      </text>
    </comment>
    <comment ref="C1598" authorId="2" shapeId="0" xr:uid="{F389D0B7-CBBB-4DA3-B212-BE6DB0F036DE}">
      <text>
        <r>
          <rPr>
            <sz val="11"/>
            <color theme="1"/>
            <rFont val="Calibri"/>
            <family val="2"/>
            <scheme val="minor"/>
          </rPr>
          <t>Seleccionar un valor del listado</t>
        </r>
      </text>
    </comment>
    <comment ref="D1598" authorId="2" shapeId="0" xr:uid="{F2A186BE-0BA8-4878-B709-A08EFE90B0DD}">
      <text>
        <r>
          <rPr>
            <sz val="11"/>
            <color theme="1"/>
            <rFont val="Calibri"/>
            <family val="2"/>
            <scheme val="minor"/>
          </rPr>
          <t>Seleccione el tipo de procedimiento</t>
        </r>
      </text>
    </comment>
    <comment ref="E1598" authorId="2" shapeId="0" xr:uid="{B662BE44-E780-4EEF-A586-A3E58D22DE0E}">
      <text>
        <r>
          <rPr>
            <sz val="11"/>
            <color theme="1"/>
            <rFont val="Calibri"/>
            <family val="2"/>
            <scheme val="minor"/>
          </rPr>
          <t>Seleccione un valor de la lista</t>
        </r>
      </text>
    </comment>
    <comment ref="F1598" authorId="2" shapeId="0" xr:uid="{557D74E1-4DB5-4BE8-8C9F-1D38E859D3E5}">
      <text>
        <r>
          <rPr>
            <sz val="11"/>
            <color theme="1"/>
            <rFont val="Calibri"/>
            <family val="2"/>
            <scheme val="minor"/>
          </rPr>
          <t>Introduzca el código SNIP</t>
        </r>
      </text>
    </comment>
    <comment ref="C1599" authorId="2" shapeId="0" xr:uid="{C064E907-64F2-4B78-8AB1-92FFA8EB68CA}">
      <text>
        <r>
          <rPr>
            <sz val="11"/>
            <color theme="1"/>
            <rFont val="Calibri"/>
            <family val="2"/>
            <scheme val="minor"/>
          </rPr>
          <t>Introduzca la fecha de inicio del proceso, en formato dd-mm-aaaa</t>
        </r>
      </text>
    </comment>
    <comment ref="F1599" authorId="2" shapeId="0" xr:uid="{CEFD21F4-F930-4354-8B4B-B9449ACCE0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shapeId="0" xr:uid="{B1C2B47E-72B8-430D-8125-3BD51C7E5F8A}">
      <text/>
    </comment>
    <comment ref="C1601" authorId="2" shapeId="0" xr:uid="{B17E8AA5-3060-4372-BC6B-3BD702FDBAF7}">
      <text>
        <r>
          <rPr>
            <sz val="11"/>
            <color theme="1"/>
            <rFont val="Calibri"/>
            <family val="2"/>
            <scheme val="minor"/>
          </rPr>
          <t>Introduzca la fecha prevista de adjudicación, en formato dd-mm-aaaa</t>
        </r>
      </text>
    </comment>
    <comment ref="F1601" authorId="2" shapeId="0" xr:uid="{BFEEBD40-EC30-4C10-90BB-47EA4020D478}">
      <text/>
    </comment>
    <comment ref="F1602" authorId="2" shapeId="0" xr:uid="{B341F43C-842B-4689-8EFC-B640FBEAA65C}">
      <text/>
    </comment>
    <comment ref="A1604" authorId="2" shapeId="0" xr:uid="{ED3E3035-7FE7-4FB1-A225-7979F6B76EE9}">
      <text>
        <r>
          <rPr>
            <sz val="11"/>
            <color theme="1"/>
            <rFont val="Calibri"/>
            <family val="2"/>
            <scheme val="minor"/>
          </rPr>
          <t>Introduzca un codigo UNSPSC</t>
        </r>
      </text>
    </comment>
    <comment ref="B1604" authorId="2" shapeId="0" xr:uid="{9ABC6C21-C398-42D1-8E7A-31E65BC0FD79}">
      <text>
        <r>
          <rPr>
            <sz val="11"/>
            <color theme="1"/>
            <rFont val="Calibri"/>
            <family val="2"/>
            <scheme val="minor"/>
          </rPr>
          <t>Descripción calculada automáticamente a partir de código del artículo</t>
        </r>
      </text>
    </comment>
    <comment ref="C1604" authorId="2" shapeId="0" xr:uid="{7CB4C5A3-CAD2-49A9-A6DC-4D33751E19CB}">
      <text>
        <r>
          <rPr>
            <sz val="11"/>
            <color theme="1"/>
            <rFont val="Calibri"/>
            <family val="2"/>
            <scheme val="minor"/>
          </rPr>
          <t>Seleccione un valor de la lista</t>
        </r>
      </text>
    </comment>
    <comment ref="D1604" authorId="2" shapeId="0" xr:uid="{4FFBA99C-44BE-491A-AF6A-1DB5C2890C87}">
      <text>
        <r>
          <rPr>
            <sz val="11"/>
            <color theme="1"/>
            <rFont val="Calibri"/>
            <family val="2"/>
            <scheme val="minor"/>
          </rPr>
          <t>Introduzca un número con dos decimales como máximo. Debe ser igual o mayor a la "Cantidad Real Consumida"</t>
        </r>
      </text>
    </comment>
    <comment ref="E1604" authorId="2" shapeId="0" xr:uid="{06F40B53-8778-428D-9F1C-B47EB9E8E478}">
      <text>
        <r>
          <rPr>
            <sz val="11"/>
            <color theme="1"/>
            <rFont val="Calibri"/>
            <family val="2"/>
            <scheme val="minor"/>
          </rPr>
          <t>Introduzca un número con dos decimales como máximo</t>
        </r>
      </text>
    </comment>
    <comment ref="F1604" authorId="2" shapeId="0" xr:uid="{732520C3-DCAC-450B-A221-4849E91EA56B}">
      <text>
        <r>
          <rPr>
            <sz val="11"/>
            <color theme="1"/>
            <rFont val="Calibri"/>
            <family val="2"/>
            <scheme val="minor"/>
          </rPr>
          <t>Monto calculado automáticamente por el sistema</t>
        </r>
      </text>
    </comment>
    <comment ref="A1609" authorId="2" shapeId="0" xr:uid="{43CEAF37-63EC-422D-B859-C8309F4877CB}">
      <text>
        <r>
          <rPr>
            <sz val="11"/>
            <color theme="1"/>
            <rFont val="Calibri"/>
            <family val="2"/>
            <scheme val="minor"/>
          </rPr>
          <t>Introducir un texto con el nombre o referencia de la contratación</t>
        </r>
      </text>
    </comment>
    <comment ref="B1609" authorId="2" shapeId="0" xr:uid="{D2927F37-15A6-4AAA-9C83-345CC183074C}">
      <text>
        <r>
          <rPr>
            <sz val="11"/>
            <color theme="1"/>
            <rFont val="Calibri"/>
            <family val="2"/>
            <scheme val="minor"/>
          </rPr>
          <t>Introduzca un texto con la finalidad de la contratación</t>
        </r>
      </text>
    </comment>
    <comment ref="C1609" authorId="2" shapeId="0" xr:uid="{CB5360D4-6115-4476-BE82-636266D307D0}">
      <text>
        <r>
          <rPr>
            <sz val="11"/>
            <color theme="1"/>
            <rFont val="Calibri"/>
            <family val="2"/>
            <scheme val="minor"/>
          </rPr>
          <t>Seleccionar un valor del listado</t>
        </r>
      </text>
    </comment>
    <comment ref="D1609" authorId="2" shapeId="0" xr:uid="{E437595A-B1B6-4A9C-AB55-C0E4DC24AFA4}">
      <text>
        <r>
          <rPr>
            <sz val="11"/>
            <color theme="1"/>
            <rFont val="Calibri"/>
            <family val="2"/>
            <scheme val="minor"/>
          </rPr>
          <t>Seleccione el tipo de procedimiento</t>
        </r>
      </text>
    </comment>
    <comment ref="E1609" authorId="2" shapeId="0" xr:uid="{EA4CCF23-E76A-493D-A4C2-3E6A902D5EEB}">
      <text>
        <r>
          <rPr>
            <sz val="11"/>
            <color theme="1"/>
            <rFont val="Calibri"/>
            <family val="2"/>
            <scheme val="minor"/>
          </rPr>
          <t>Seleccione un valor de la lista</t>
        </r>
      </text>
    </comment>
    <comment ref="F1609" authorId="2" shapeId="0" xr:uid="{9DDEA8E8-8496-4BB8-9389-4F41A2A490EC}">
      <text>
        <r>
          <rPr>
            <sz val="11"/>
            <color theme="1"/>
            <rFont val="Calibri"/>
            <family val="2"/>
            <scheme val="minor"/>
          </rPr>
          <t>Introduzca el código SNIP</t>
        </r>
      </text>
    </comment>
    <comment ref="C1610" authorId="2" shapeId="0" xr:uid="{130BE27E-EF06-40C5-AF0B-3E265A092224}">
      <text>
        <r>
          <rPr>
            <sz val="11"/>
            <color theme="1"/>
            <rFont val="Calibri"/>
            <family val="2"/>
            <scheme val="minor"/>
          </rPr>
          <t>Introduzca la fecha de inicio del proceso, en formato dd-mm-aaaa</t>
        </r>
      </text>
    </comment>
    <comment ref="F1610" authorId="2" shapeId="0" xr:uid="{C1BFE9B1-9C51-49AA-B901-17CDBD304B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xr:uid="{CB59421B-09EF-432E-8D8C-C18D7EB7E900}">
      <text/>
    </comment>
    <comment ref="C1612" authorId="2" shapeId="0" xr:uid="{EBBD8660-16FD-404E-AA60-07A0F52092FC}">
      <text>
        <r>
          <rPr>
            <sz val="11"/>
            <color theme="1"/>
            <rFont val="Calibri"/>
            <family val="2"/>
            <scheme val="minor"/>
          </rPr>
          <t>Introduzca la fecha prevista de adjudicación, en formato dd-mm-aaaa</t>
        </r>
      </text>
    </comment>
    <comment ref="F1612" authorId="2" shapeId="0" xr:uid="{BF7F7DD5-72FE-4210-9B52-286CD384F319}">
      <text/>
    </comment>
    <comment ref="F1613" authorId="2" shapeId="0" xr:uid="{08B55426-BC7A-4604-80BE-24A050428B7E}">
      <text/>
    </comment>
    <comment ref="A1615" authorId="2" shapeId="0" xr:uid="{CD33EF05-ADF7-41FC-97CF-9EDD385F3C98}">
      <text>
        <r>
          <rPr>
            <sz val="11"/>
            <color theme="1"/>
            <rFont val="Calibri"/>
            <family val="2"/>
            <scheme val="minor"/>
          </rPr>
          <t>Introduzca un codigo UNSPSC</t>
        </r>
      </text>
    </comment>
    <comment ref="B1615" authorId="2" shapeId="0" xr:uid="{F44636B7-490B-4940-9731-DA80DEEC0CDF}">
      <text>
        <r>
          <rPr>
            <sz val="11"/>
            <color theme="1"/>
            <rFont val="Calibri"/>
            <family val="2"/>
            <scheme val="minor"/>
          </rPr>
          <t>Descripción calculada automáticamente a partir de código del artículo</t>
        </r>
      </text>
    </comment>
    <comment ref="C1615" authorId="2" shapeId="0" xr:uid="{45E2605A-A618-46A1-8623-76C69C22834A}">
      <text>
        <r>
          <rPr>
            <sz val="11"/>
            <color theme="1"/>
            <rFont val="Calibri"/>
            <family val="2"/>
            <scheme val="minor"/>
          </rPr>
          <t>Seleccione un valor de la lista</t>
        </r>
      </text>
    </comment>
    <comment ref="D1615" authorId="2" shapeId="0" xr:uid="{589584EB-DA36-42BD-9B6C-0B96CBC336EA}">
      <text>
        <r>
          <rPr>
            <sz val="11"/>
            <color theme="1"/>
            <rFont val="Calibri"/>
            <family val="2"/>
            <scheme val="minor"/>
          </rPr>
          <t>Introduzca un número con dos decimales como máximo. Debe ser igual o mayor a la "Cantidad Real Consumida"</t>
        </r>
      </text>
    </comment>
    <comment ref="E1615" authorId="2" shapeId="0" xr:uid="{5C55EC8D-B5E8-41CD-80AB-7083AA7B8C4F}">
      <text>
        <r>
          <rPr>
            <sz val="11"/>
            <color theme="1"/>
            <rFont val="Calibri"/>
            <family val="2"/>
            <scheme val="minor"/>
          </rPr>
          <t>Introduzca un número con dos decimales como máximo</t>
        </r>
      </text>
    </comment>
    <comment ref="F1615" authorId="2" shapeId="0" xr:uid="{ECC163AA-6792-4035-AD66-6F18DEC9A01E}">
      <text>
        <r>
          <rPr>
            <sz val="11"/>
            <color theme="1"/>
            <rFont val="Calibri"/>
            <family val="2"/>
            <scheme val="minor"/>
          </rPr>
          <t>Monto calculado automáticamente por el sistema</t>
        </r>
      </text>
    </comment>
    <comment ref="A1620" authorId="2" shapeId="0" xr:uid="{982E6132-5988-4BB2-A604-F14BEF95AD11}">
      <text>
        <r>
          <rPr>
            <sz val="11"/>
            <color theme="1"/>
            <rFont val="Calibri"/>
            <family val="2"/>
            <scheme val="minor"/>
          </rPr>
          <t>Introducir un texto con el nombre o referencia de la contratación</t>
        </r>
      </text>
    </comment>
    <comment ref="B1620" authorId="2" shapeId="0" xr:uid="{28C02A3C-C6A0-49D7-B8F1-EEBDD089AD12}">
      <text>
        <r>
          <rPr>
            <sz val="11"/>
            <color theme="1"/>
            <rFont val="Calibri"/>
            <family val="2"/>
            <scheme val="minor"/>
          </rPr>
          <t>Introduzca un texto con la finalidad de la contratación</t>
        </r>
      </text>
    </comment>
    <comment ref="C1620" authorId="2" shapeId="0" xr:uid="{D9666A27-56FD-47B5-BC03-28ABFF95EC43}">
      <text>
        <r>
          <rPr>
            <sz val="11"/>
            <color theme="1"/>
            <rFont val="Calibri"/>
            <family val="2"/>
            <scheme val="minor"/>
          </rPr>
          <t>Seleccionar un valor del listado</t>
        </r>
      </text>
    </comment>
    <comment ref="D1620" authorId="2" shapeId="0" xr:uid="{D4BC993F-AC72-4F68-8B20-C7DF66233BFF}">
      <text>
        <r>
          <rPr>
            <sz val="11"/>
            <color theme="1"/>
            <rFont val="Calibri"/>
            <family val="2"/>
            <scheme val="minor"/>
          </rPr>
          <t>Seleccione el tipo de procedimiento</t>
        </r>
      </text>
    </comment>
    <comment ref="E1620" authorId="2" shapeId="0" xr:uid="{A93BCF3E-B3AA-4937-A8EA-646DF4B10C98}">
      <text>
        <r>
          <rPr>
            <sz val="11"/>
            <color theme="1"/>
            <rFont val="Calibri"/>
            <family val="2"/>
            <scheme val="minor"/>
          </rPr>
          <t>Seleccione un valor de la lista</t>
        </r>
      </text>
    </comment>
    <comment ref="F1620" authorId="2" shapeId="0" xr:uid="{DD20CEDD-3B57-47C3-BF6B-B9C959DFF23D}">
      <text>
        <r>
          <rPr>
            <sz val="11"/>
            <color theme="1"/>
            <rFont val="Calibri"/>
            <family val="2"/>
            <scheme val="minor"/>
          </rPr>
          <t>Introduzca el código SNIP</t>
        </r>
      </text>
    </comment>
    <comment ref="C1621" authorId="2" shapeId="0" xr:uid="{4326781E-4799-48C7-8C7A-FCC8FA96D6CF}">
      <text>
        <r>
          <rPr>
            <sz val="11"/>
            <color theme="1"/>
            <rFont val="Calibri"/>
            <family val="2"/>
            <scheme val="minor"/>
          </rPr>
          <t>Introduzca la fecha de inicio del proceso, en formato dd-mm-aaaa</t>
        </r>
      </text>
    </comment>
    <comment ref="F1621" authorId="2" shapeId="0" xr:uid="{0FEAD9D9-3EF6-4A19-B625-9CA50DA987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shapeId="0" xr:uid="{3D229D90-5F92-4CF4-8932-393950B9398B}">
      <text/>
    </comment>
    <comment ref="C1623" authorId="2" shapeId="0" xr:uid="{F4AF81D8-88AB-4EE4-A645-EAA1F89F61C5}">
      <text>
        <r>
          <rPr>
            <sz val="11"/>
            <color theme="1"/>
            <rFont val="Calibri"/>
            <family val="2"/>
            <scheme val="minor"/>
          </rPr>
          <t>Introduzca la fecha prevista de adjudicación, en formato dd-mm-aaaa</t>
        </r>
      </text>
    </comment>
    <comment ref="F1623" authorId="2" shapeId="0" xr:uid="{EC0B64C9-ADF2-4115-8B25-4D49C01ED3DD}">
      <text/>
    </comment>
    <comment ref="F1624" authorId="2" shapeId="0" xr:uid="{C044C27C-C8FB-47E2-B6A1-718B2709009D}">
      <text/>
    </comment>
    <comment ref="A1626" authorId="2" shapeId="0" xr:uid="{D277D076-5F02-4BC1-808A-1B534CAED798}">
      <text>
        <r>
          <rPr>
            <sz val="11"/>
            <color theme="1"/>
            <rFont val="Calibri"/>
            <family val="2"/>
            <scheme val="minor"/>
          </rPr>
          <t>Introduzca un codigo UNSPSC</t>
        </r>
      </text>
    </comment>
    <comment ref="B1626" authorId="2" shapeId="0" xr:uid="{D919BD69-B78D-41C3-9C6F-F926979E7E26}">
      <text>
        <r>
          <rPr>
            <sz val="11"/>
            <color theme="1"/>
            <rFont val="Calibri"/>
            <family val="2"/>
            <scheme val="minor"/>
          </rPr>
          <t>Descripción calculada automáticamente a partir de código del artículo</t>
        </r>
      </text>
    </comment>
    <comment ref="C1626" authorId="2" shapeId="0" xr:uid="{96F86C6C-C0B0-438E-BA20-CFFAEC993B7E}">
      <text>
        <r>
          <rPr>
            <sz val="11"/>
            <color theme="1"/>
            <rFont val="Calibri"/>
            <family val="2"/>
            <scheme val="minor"/>
          </rPr>
          <t>Seleccione un valor de la lista</t>
        </r>
      </text>
    </comment>
    <comment ref="D1626" authorId="2" shapeId="0" xr:uid="{FF2942D4-289A-45BF-B7AE-176D4FDFF072}">
      <text>
        <r>
          <rPr>
            <sz val="11"/>
            <color theme="1"/>
            <rFont val="Calibri"/>
            <family val="2"/>
            <scheme val="minor"/>
          </rPr>
          <t>Introduzca un número con dos decimales como máximo. Debe ser igual o mayor a la "Cantidad Real Consumida"</t>
        </r>
      </text>
    </comment>
    <comment ref="E1626" authorId="2" shapeId="0" xr:uid="{8876BD9C-2276-4512-BC77-BC3B9FF22FA3}">
      <text>
        <r>
          <rPr>
            <sz val="11"/>
            <color theme="1"/>
            <rFont val="Calibri"/>
            <family val="2"/>
            <scheme val="minor"/>
          </rPr>
          <t>Introduzca un número con dos decimales como máximo</t>
        </r>
      </text>
    </comment>
    <comment ref="F1626" authorId="2" shapeId="0" xr:uid="{D40164E3-77AB-4352-8C0C-E15FAC2FA881}">
      <text>
        <r>
          <rPr>
            <sz val="11"/>
            <color theme="1"/>
            <rFont val="Calibri"/>
            <family val="2"/>
            <scheme val="minor"/>
          </rPr>
          <t>Monto calculado automáticamente por el sistema</t>
        </r>
      </text>
    </comment>
    <comment ref="A1631" authorId="2" shapeId="0" xr:uid="{91557237-C797-490A-8536-5E508A65833C}">
      <text>
        <r>
          <rPr>
            <sz val="11"/>
            <color theme="1"/>
            <rFont val="Calibri"/>
            <family val="2"/>
            <scheme val="minor"/>
          </rPr>
          <t>Introducir un texto con el nombre o referencia de la contratación</t>
        </r>
      </text>
    </comment>
    <comment ref="B1631" authorId="2" shapeId="0" xr:uid="{403727FB-DB02-4080-87DF-E08F383D32A1}">
      <text>
        <r>
          <rPr>
            <sz val="11"/>
            <color theme="1"/>
            <rFont val="Calibri"/>
            <family val="2"/>
            <scheme val="minor"/>
          </rPr>
          <t>Introduzca un texto con la finalidad de la contratación</t>
        </r>
      </text>
    </comment>
    <comment ref="C1631" authorId="2" shapeId="0" xr:uid="{6C349AFD-8473-4AE3-B001-E11EB4A9F3DB}">
      <text>
        <r>
          <rPr>
            <sz val="11"/>
            <color theme="1"/>
            <rFont val="Calibri"/>
            <family val="2"/>
            <scheme val="minor"/>
          </rPr>
          <t>Seleccionar un valor del listado</t>
        </r>
      </text>
    </comment>
    <comment ref="D1631" authorId="2" shapeId="0" xr:uid="{70D63898-B9B2-4F48-9C1A-C9A224B187BD}">
      <text>
        <r>
          <rPr>
            <sz val="11"/>
            <color theme="1"/>
            <rFont val="Calibri"/>
            <family val="2"/>
            <scheme val="minor"/>
          </rPr>
          <t>Seleccione el tipo de procedimiento</t>
        </r>
      </text>
    </comment>
    <comment ref="E1631" authorId="2" shapeId="0" xr:uid="{27170018-3F3E-4C56-AFFB-2F906D75ADF2}">
      <text>
        <r>
          <rPr>
            <sz val="11"/>
            <color theme="1"/>
            <rFont val="Calibri"/>
            <family val="2"/>
            <scheme val="minor"/>
          </rPr>
          <t>Seleccione un valor de la lista</t>
        </r>
      </text>
    </comment>
    <comment ref="F1631" authorId="2" shapeId="0" xr:uid="{19017E59-F449-49AC-B49D-D0D44ACD076A}">
      <text>
        <r>
          <rPr>
            <sz val="11"/>
            <color theme="1"/>
            <rFont val="Calibri"/>
            <family val="2"/>
            <scheme val="minor"/>
          </rPr>
          <t>Introduzca el código SNIP</t>
        </r>
      </text>
    </comment>
    <comment ref="C1632" authorId="2" shapeId="0" xr:uid="{73E529B2-22F4-4C12-BBE3-660FDC693DA8}">
      <text>
        <r>
          <rPr>
            <sz val="11"/>
            <color theme="1"/>
            <rFont val="Calibri"/>
            <family val="2"/>
            <scheme val="minor"/>
          </rPr>
          <t>Introduzca la fecha de inicio del proceso, en formato dd-mm-aaaa</t>
        </r>
      </text>
    </comment>
    <comment ref="F1632" authorId="2" shapeId="0" xr:uid="{B4DE177E-11DD-4570-A264-702F51CC49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2" shapeId="0" xr:uid="{2D5B621A-A03E-490D-A90F-B88133515FA0}">
      <text/>
    </comment>
    <comment ref="C1634" authorId="2" shapeId="0" xr:uid="{7A6469B1-0F7A-42EE-919C-C4336D4917CC}">
      <text>
        <r>
          <rPr>
            <sz val="11"/>
            <color theme="1"/>
            <rFont val="Calibri"/>
            <family val="2"/>
            <scheme val="minor"/>
          </rPr>
          <t>Introduzca la fecha prevista de adjudicación, en formato dd-mm-aaaa</t>
        </r>
      </text>
    </comment>
    <comment ref="F1634" authorId="2" shapeId="0" xr:uid="{8BD5593B-0EFD-4B87-9BF5-42FE8846E668}">
      <text/>
    </comment>
    <comment ref="F1635" authorId="2" shapeId="0" xr:uid="{5F44E06B-8AC4-4E18-A1F5-9EDC472746AF}">
      <text/>
    </comment>
    <comment ref="A1637" authorId="2" shapeId="0" xr:uid="{7BED5661-1BEA-4BF8-B14F-CA80F8431965}">
      <text>
        <r>
          <rPr>
            <sz val="11"/>
            <color theme="1"/>
            <rFont val="Calibri"/>
            <family val="2"/>
            <scheme val="minor"/>
          </rPr>
          <t>Introduzca un codigo UNSPSC</t>
        </r>
      </text>
    </comment>
    <comment ref="B1637" authorId="2" shapeId="0" xr:uid="{9B4DE77A-262F-4604-8033-7A9C5C45C6AB}">
      <text>
        <r>
          <rPr>
            <sz val="11"/>
            <color theme="1"/>
            <rFont val="Calibri"/>
            <family val="2"/>
            <scheme val="minor"/>
          </rPr>
          <t>Descripción calculada automáticamente a partir de código del artículo</t>
        </r>
      </text>
    </comment>
    <comment ref="C1637" authorId="2" shapeId="0" xr:uid="{3A076183-AFA4-4A07-AB00-5AE4F0C65537}">
      <text>
        <r>
          <rPr>
            <sz val="11"/>
            <color theme="1"/>
            <rFont val="Calibri"/>
            <family val="2"/>
            <scheme val="minor"/>
          </rPr>
          <t>Seleccione un valor de la lista</t>
        </r>
      </text>
    </comment>
    <comment ref="D1637" authorId="2" shapeId="0" xr:uid="{14517219-F054-48A3-80EB-8012F497BD04}">
      <text>
        <r>
          <rPr>
            <sz val="11"/>
            <color theme="1"/>
            <rFont val="Calibri"/>
            <family val="2"/>
            <scheme val="minor"/>
          </rPr>
          <t>Introduzca un número con dos decimales como máximo. Debe ser igual o mayor a la "Cantidad Real Consumida"</t>
        </r>
      </text>
    </comment>
    <comment ref="E1637" authorId="2" shapeId="0" xr:uid="{DAC96B78-5F6B-4AAC-A8B6-7B56E9460136}">
      <text>
        <r>
          <rPr>
            <sz val="11"/>
            <color theme="1"/>
            <rFont val="Calibri"/>
            <family val="2"/>
            <scheme val="minor"/>
          </rPr>
          <t>Introduzca un número con dos decimales como máximo</t>
        </r>
      </text>
    </comment>
    <comment ref="F1637" authorId="2" shapeId="0" xr:uid="{D4A5CFC9-B1F1-479B-B051-698AFD72E811}">
      <text>
        <r>
          <rPr>
            <sz val="11"/>
            <color theme="1"/>
            <rFont val="Calibri"/>
            <family val="2"/>
            <scheme val="minor"/>
          </rPr>
          <t>Monto calculado automáticamente por el sistema</t>
        </r>
      </text>
    </comment>
    <comment ref="A1642" authorId="2" shapeId="0" xr:uid="{15E36618-5B44-49A0-A02F-D62464FE3F3F}">
      <text>
        <r>
          <rPr>
            <sz val="11"/>
            <color theme="1"/>
            <rFont val="Calibri"/>
            <family val="2"/>
            <scheme val="minor"/>
          </rPr>
          <t>Introducir un texto con el nombre o referencia de la contratación</t>
        </r>
      </text>
    </comment>
    <comment ref="B1642" authorId="2" shapeId="0" xr:uid="{84B00A69-80EA-49A9-9D69-C582F62D91E3}">
      <text>
        <r>
          <rPr>
            <sz val="11"/>
            <color theme="1"/>
            <rFont val="Calibri"/>
            <family val="2"/>
            <scheme val="minor"/>
          </rPr>
          <t>Introduzca un texto con la finalidad de la contratación</t>
        </r>
      </text>
    </comment>
    <comment ref="C1642" authorId="2" shapeId="0" xr:uid="{80DEF96D-6ECA-424B-AD16-ED0B4CF126C4}">
      <text>
        <r>
          <rPr>
            <sz val="11"/>
            <color theme="1"/>
            <rFont val="Calibri"/>
            <family val="2"/>
            <scheme val="minor"/>
          </rPr>
          <t>Seleccionar un valor del listado</t>
        </r>
      </text>
    </comment>
    <comment ref="D1642" authorId="2" shapeId="0" xr:uid="{EF82D823-DA52-4990-A0D6-D282370A1A0E}">
      <text>
        <r>
          <rPr>
            <sz val="11"/>
            <color theme="1"/>
            <rFont val="Calibri"/>
            <family val="2"/>
            <scheme val="minor"/>
          </rPr>
          <t>Seleccione el tipo de procedimiento</t>
        </r>
      </text>
    </comment>
    <comment ref="E1642" authorId="2" shapeId="0" xr:uid="{AFDC253D-93B3-41E5-9AAC-E62130B40BDD}">
      <text>
        <r>
          <rPr>
            <sz val="11"/>
            <color theme="1"/>
            <rFont val="Calibri"/>
            <family val="2"/>
            <scheme val="minor"/>
          </rPr>
          <t>Seleccione un valor de la lista</t>
        </r>
      </text>
    </comment>
    <comment ref="F1642" authorId="2" shapeId="0" xr:uid="{B8A19A8A-D468-4AD8-A6F3-1B058FCBDF7D}">
      <text>
        <r>
          <rPr>
            <sz val="11"/>
            <color theme="1"/>
            <rFont val="Calibri"/>
            <family val="2"/>
            <scheme val="minor"/>
          </rPr>
          <t>Introduzca el código SNIP</t>
        </r>
      </text>
    </comment>
    <comment ref="C1643" authorId="2" shapeId="0" xr:uid="{DCD0B8C6-575A-47AE-ABCE-E37947994D9A}">
      <text>
        <r>
          <rPr>
            <sz val="11"/>
            <color theme="1"/>
            <rFont val="Calibri"/>
            <family val="2"/>
            <scheme val="minor"/>
          </rPr>
          <t>Introduzca la fecha de inicio del proceso, en formato dd-mm-aaaa</t>
        </r>
      </text>
    </comment>
    <comment ref="F1643" authorId="2" shapeId="0" xr:uid="{828744DF-AF8D-4A5B-9610-B08144593C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2" shapeId="0" xr:uid="{79B6874D-19A9-485B-90C1-9A6C5980DCDE}">
      <text/>
    </comment>
    <comment ref="C1645" authorId="2" shapeId="0" xr:uid="{AEC95ED0-89EA-4A33-8AED-EC83298EFEA2}">
      <text>
        <r>
          <rPr>
            <sz val="11"/>
            <color theme="1"/>
            <rFont val="Calibri"/>
            <family val="2"/>
            <scheme val="minor"/>
          </rPr>
          <t>Introduzca la fecha prevista de adjudicación, en formato dd-mm-aaaa</t>
        </r>
      </text>
    </comment>
    <comment ref="F1645" authorId="2" shapeId="0" xr:uid="{31471FBB-14D3-4543-B5D2-7A600FD76903}">
      <text/>
    </comment>
    <comment ref="F1646" authorId="2" shapeId="0" xr:uid="{63234BBF-37A5-4EC8-A580-BA4C48ECC812}">
      <text/>
    </comment>
    <comment ref="A1648" authorId="2" shapeId="0" xr:uid="{5F8F3208-9DA2-4771-B418-E8A6ACCCD38A}">
      <text>
        <r>
          <rPr>
            <sz val="11"/>
            <color theme="1"/>
            <rFont val="Calibri"/>
            <family val="2"/>
            <scheme val="minor"/>
          </rPr>
          <t>Introduzca un codigo UNSPSC</t>
        </r>
      </text>
    </comment>
    <comment ref="B1648" authorId="2" shapeId="0" xr:uid="{6D2DFEA2-2221-48ED-902A-991D2FF57E78}">
      <text>
        <r>
          <rPr>
            <sz val="11"/>
            <color theme="1"/>
            <rFont val="Calibri"/>
            <family val="2"/>
            <scheme val="minor"/>
          </rPr>
          <t>Descripción calculada automáticamente a partir de código del artículo</t>
        </r>
      </text>
    </comment>
    <comment ref="C1648" authorId="2" shapeId="0" xr:uid="{EAF8D27D-1FA9-46B2-A916-C9F217ED9DD5}">
      <text>
        <r>
          <rPr>
            <sz val="11"/>
            <color theme="1"/>
            <rFont val="Calibri"/>
            <family val="2"/>
            <scheme val="minor"/>
          </rPr>
          <t>Seleccione un valor de la lista</t>
        </r>
      </text>
    </comment>
    <comment ref="D1648" authorId="2" shapeId="0" xr:uid="{DEB554CB-7DFB-4AAB-8B31-B8FAF32A55FC}">
      <text>
        <r>
          <rPr>
            <sz val="11"/>
            <color theme="1"/>
            <rFont val="Calibri"/>
            <family val="2"/>
            <scheme val="minor"/>
          </rPr>
          <t>Introduzca un número con dos decimales como máximo. Debe ser igual o mayor a la "Cantidad Real Consumida"</t>
        </r>
      </text>
    </comment>
    <comment ref="E1648" authorId="2" shapeId="0" xr:uid="{8717C67A-92D4-42E7-93AC-B06216EF9158}">
      <text>
        <r>
          <rPr>
            <sz val="11"/>
            <color theme="1"/>
            <rFont val="Calibri"/>
            <family val="2"/>
            <scheme val="minor"/>
          </rPr>
          <t>Introduzca un número con dos decimales como máximo</t>
        </r>
      </text>
    </comment>
    <comment ref="F1648" authorId="2" shapeId="0" xr:uid="{C333C9D3-EDA3-4F38-A931-250AF66C36DA}">
      <text>
        <r>
          <rPr>
            <sz val="11"/>
            <color theme="1"/>
            <rFont val="Calibri"/>
            <family val="2"/>
            <scheme val="minor"/>
          </rPr>
          <t>Monto calculado automáticamente por el sistema</t>
        </r>
      </text>
    </comment>
    <comment ref="A1656" authorId="2" shapeId="0" xr:uid="{840CFADE-7EE9-49CB-B21B-7ECC097ED547}">
      <text>
        <r>
          <rPr>
            <sz val="11"/>
            <color theme="1"/>
            <rFont val="Calibri"/>
            <family val="2"/>
            <scheme val="minor"/>
          </rPr>
          <t>Introducir un texto con el nombre o referencia de la contratación</t>
        </r>
      </text>
    </comment>
    <comment ref="B1656" authorId="2" shapeId="0" xr:uid="{833A900A-77F7-490D-BA98-0D45C0EBC4EC}">
      <text>
        <r>
          <rPr>
            <sz val="11"/>
            <color theme="1"/>
            <rFont val="Calibri"/>
            <family val="2"/>
            <scheme val="minor"/>
          </rPr>
          <t>Introduzca un texto con la finalidad de la contratación</t>
        </r>
      </text>
    </comment>
    <comment ref="C1656" authorId="2" shapeId="0" xr:uid="{C197BE89-3288-4613-B917-26C7BFF91A12}">
      <text>
        <r>
          <rPr>
            <sz val="11"/>
            <color theme="1"/>
            <rFont val="Calibri"/>
            <family val="2"/>
            <scheme val="minor"/>
          </rPr>
          <t>Seleccionar un valor del listado</t>
        </r>
      </text>
    </comment>
    <comment ref="D1656" authorId="2" shapeId="0" xr:uid="{0185385D-AA54-485F-8C0E-0A90CFD06D85}">
      <text>
        <r>
          <rPr>
            <sz val="11"/>
            <color theme="1"/>
            <rFont val="Calibri"/>
            <family val="2"/>
            <scheme val="minor"/>
          </rPr>
          <t>Seleccione el tipo de procedimiento</t>
        </r>
      </text>
    </comment>
    <comment ref="E1656" authorId="2" shapeId="0" xr:uid="{E9498B16-A1C7-46BA-919C-309DB1577C60}">
      <text>
        <r>
          <rPr>
            <sz val="11"/>
            <color theme="1"/>
            <rFont val="Calibri"/>
            <family val="2"/>
            <scheme val="minor"/>
          </rPr>
          <t>Seleccione un valor de la lista</t>
        </r>
      </text>
    </comment>
    <comment ref="F1656" authorId="2" shapeId="0" xr:uid="{FA4BA0DA-6580-4058-99D6-913154635964}">
      <text>
        <r>
          <rPr>
            <sz val="11"/>
            <color theme="1"/>
            <rFont val="Calibri"/>
            <family val="2"/>
            <scheme val="minor"/>
          </rPr>
          <t>Introduzca el código SNIP</t>
        </r>
      </text>
    </comment>
    <comment ref="C1657" authorId="2" shapeId="0" xr:uid="{8C20E72C-4149-4995-ADD9-6B7CF50F3A7E}">
      <text>
        <r>
          <rPr>
            <sz val="11"/>
            <color theme="1"/>
            <rFont val="Calibri"/>
            <family val="2"/>
            <scheme val="minor"/>
          </rPr>
          <t>Introduzca la fecha de inicio del proceso, en formato dd-mm-aaaa</t>
        </r>
      </text>
    </comment>
    <comment ref="F1657" authorId="2" shapeId="0" xr:uid="{E9E2E169-81F0-4329-A69B-59036811F3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2" shapeId="0" xr:uid="{3B20C079-9462-4588-82FE-1B16AD2DC10D}">
      <text/>
    </comment>
    <comment ref="C1659" authorId="2" shapeId="0" xr:uid="{287C2D52-D4D3-48F5-80E6-FE4CFD9E1A98}">
      <text>
        <r>
          <rPr>
            <sz val="11"/>
            <color theme="1"/>
            <rFont val="Calibri"/>
            <family val="2"/>
            <scheme val="minor"/>
          </rPr>
          <t>Introduzca la fecha prevista de adjudicación, en formato dd-mm-aaaa</t>
        </r>
      </text>
    </comment>
    <comment ref="F1659" authorId="2" shapeId="0" xr:uid="{D4F727B1-9D8E-4A9E-99C2-07CC3386817E}">
      <text/>
    </comment>
    <comment ref="F1660" authorId="2" shapeId="0" xr:uid="{F1AA8C92-9106-4A5D-8B2B-7C372C20EB0C}">
      <text/>
    </comment>
    <comment ref="A1662" authorId="2" shapeId="0" xr:uid="{B00A3F66-5C22-4223-91CB-D0DC8847DF28}">
      <text>
        <r>
          <rPr>
            <sz val="11"/>
            <color theme="1"/>
            <rFont val="Calibri"/>
            <family val="2"/>
            <scheme val="minor"/>
          </rPr>
          <t>Introduzca un codigo UNSPSC</t>
        </r>
      </text>
    </comment>
    <comment ref="B1662" authorId="2" shapeId="0" xr:uid="{81FECFAD-7A07-4074-9537-40D2D65F4A20}">
      <text>
        <r>
          <rPr>
            <sz val="11"/>
            <color theme="1"/>
            <rFont val="Calibri"/>
            <family val="2"/>
            <scheme val="minor"/>
          </rPr>
          <t>Descripción calculada automáticamente a partir de código del artículo</t>
        </r>
      </text>
    </comment>
    <comment ref="C1662" authorId="2" shapeId="0" xr:uid="{5D12FB85-1721-47D4-BDBF-75252BBB5045}">
      <text>
        <r>
          <rPr>
            <sz val="11"/>
            <color theme="1"/>
            <rFont val="Calibri"/>
            <family val="2"/>
            <scheme val="minor"/>
          </rPr>
          <t>Seleccione un valor de la lista</t>
        </r>
      </text>
    </comment>
    <comment ref="D1662" authorId="2" shapeId="0" xr:uid="{46942A82-3A3F-440A-B36A-E551489F2A8D}">
      <text>
        <r>
          <rPr>
            <sz val="11"/>
            <color theme="1"/>
            <rFont val="Calibri"/>
            <family val="2"/>
            <scheme val="minor"/>
          </rPr>
          <t>Introduzca un número con dos decimales como máximo. Debe ser igual o mayor a la "Cantidad Real Consumida"</t>
        </r>
      </text>
    </comment>
    <comment ref="E1662" authorId="2" shapeId="0" xr:uid="{F1867801-6B82-4B1B-84E5-053616FC1C9E}">
      <text>
        <r>
          <rPr>
            <sz val="11"/>
            <color theme="1"/>
            <rFont val="Calibri"/>
            <family val="2"/>
            <scheme val="minor"/>
          </rPr>
          <t>Introduzca un número con dos decimales como máximo</t>
        </r>
      </text>
    </comment>
    <comment ref="F1662" authorId="2" shapeId="0" xr:uid="{BFEE27D6-0FCC-470B-BDA6-592AD3928766}">
      <text>
        <r>
          <rPr>
            <sz val="11"/>
            <color theme="1"/>
            <rFont val="Calibri"/>
            <family val="2"/>
            <scheme val="minor"/>
          </rPr>
          <t>Monto calculado automáticamente por el sistema</t>
        </r>
      </text>
    </comment>
    <comment ref="A1672" authorId="2" shapeId="0" xr:uid="{2A52915A-BFAA-46A2-A313-6EF1E8E5D963}">
      <text>
        <r>
          <rPr>
            <sz val="11"/>
            <color theme="1"/>
            <rFont val="Calibri"/>
            <family val="2"/>
            <scheme val="minor"/>
          </rPr>
          <t>Introducir un texto con el nombre o referencia de la contratación</t>
        </r>
      </text>
    </comment>
    <comment ref="B1672" authorId="2" shapeId="0" xr:uid="{3A7ED5DE-A4B8-49CE-AB8E-CBC686EE103B}">
      <text>
        <r>
          <rPr>
            <sz val="11"/>
            <color theme="1"/>
            <rFont val="Calibri"/>
            <family val="2"/>
            <scheme val="minor"/>
          </rPr>
          <t>Introduzca un texto con la finalidad de la contratación</t>
        </r>
      </text>
    </comment>
    <comment ref="C1672" authorId="2" shapeId="0" xr:uid="{A14D5A08-EED4-4A27-8FFB-E3820437E8E6}">
      <text>
        <r>
          <rPr>
            <sz val="11"/>
            <color theme="1"/>
            <rFont val="Calibri"/>
            <family val="2"/>
            <scheme val="minor"/>
          </rPr>
          <t>Seleccionar un valor del listado</t>
        </r>
      </text>
    </comment>
    <comment ref="D1672" authorId="2" shapeId="0" xr:uid="{35D1BB6D-48B8-4C38-A7E2-B3A605E75157}">
      <text>
        <r>
          <rPr>
            <sz val="11"/>
            <color theme="1"/>
            <rFont val="Calibri"/>
            <family val="2"/>
            <scheme val="minor"/>
          </rPr>
          <t>Seleccione el tipo de procedimiento</t>
        </r>
      </text>
    </comment>
    <comment ref="E1672" authorId="2" shapeId="0" xr:uid="{73E9DEE9-9657-4E5D-99ED-6544233552E1}">
      <text>
        <r>
          <rPr>
            <sz val="11"/>
            <color theme="1"/>
            <rFont val="Calibri"/>
            <family val="2"/>
            <scheme val="minor"/>
          </rPr>
          <t>Seleccione un valor de la lista</t>
        </r>
      </text>
    </comment>
    <comment ref="F1672" authorId="2" shapeId="0" xr:uid="{3F929AB8-A3FD-478A-AE22-9398847976A6}">
      <text>
        <r>
          <rPr>
            <sz val="11"/>
            <color theme="1"/>
            <rFont val="Calibri"/>
            <family val="2"/>
            <scheme val="minor"/>
          </rPr>
          <t>Introduzca el código SNIP</t>
        </r>
      </text>
    </comment>
    <comment ref="C1673" authorId="2" shapeId="0" xr:uid="{9C46FAB7-2742-4F40-99EE-F7895688A795}">
      <text>
        <r>
          <rPr>
            <sz val="11"/>
            <color theme="1"/>
            <rFont val="Calibri"/>
            <family val="2"/>
            <scheme val="minor"/>
          </rPr>
          <t>Introduzca la fecha de inicio del proceso, en formato dd-mm-aaaa</t>
        </r>
      </text>
    </comment>
    <comment ref="F1673" authorId="2" shapeId="0" xr:uid="{A75F31DC-48FB-4A03-8FBC-651C41E3E4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79D2FDB5-FDFD-4D46-BDC9-FF99E0F1D488}">
      <text/>
    </comment>
    <comment ref="C1675" authorId="2" shapeId="0" xr:uid="{B36D4F69-36DD-4DDD-B42B-359006A1FE6C}">
      <text>
        <r>
          <rPr>
            <sz val="11"/>
            <color theme="1"/>
            <rFont val="Calibri"/>
            <family val="2"/>
            <scheme val="minor"/>
          </rPr>
          <t>Introduzca la fecha prevista de adjudicación, en formato dd-mm-aaaa</t>
        </r>
      </text>
    </comment>
    <comment ref="F1675" authorId="2" shapeId="0" xr:uid="{9E70F861-4FD9-46E2-A483-B28FE5180FA6}">
      <text/>
    </comment>
    <comment ref="F1676" authorId="2" shapeId="0" xr:uid="{D7E629EE-F166-4FCC-B6DA-CC83CD6E1F16}">
      <text/>
    </comment>
    <comment ref="A1678" authorId="2" shapeId="0" xr:uid="{CAF08262-CD71-4B77-B726-EFFD38CB9CD8}">
      <text>
        <r>
          <rPr>
            <sz val="11"/>
            <color theme="1"/>
            <rFont val="Calibri"/>
            <family val="2"/>
            <scheme val="minor"/>
          </rPr>
          <t>Introduzca un codigo UNSPSC</t>
        </r>
      </text>
    </comment>
    <comment ref="B1678" authorId="2" shapeId="0" xr:uid="{2EEE3DE4-C40C-4CB0-83BA-EAF4E2273922}">
      <text>
        <r>
          <rPr>
            <sz val="11"/>
            <color theme="1"/>
            <rFont val="Calibri"/>
            <family val="2"/>
            <scheme val="minor"/>
          </rPr>
          <t>Descripción calculada automáticamente a partir de código del artículo</t>
        </r>
      </text>
    </comment>
    <comment ref="C1678" authorId="2" shapeId="0" xr:uid="{E071E4BD-FD33-4A0C-8CFA-FADFF8C27C32}">
      <text>
        <r>
          <rPr>
            <sz val="11"/>
            <color theme="1"/>
            <rFont val="Calibri"/>
            <family val="2"/>
            <scheme val="minor"/>
          </rPr>
          <t>Seleccione un valor de la lista</t>
        </r>
      </text>
    </comment>
    <comment ref="D1678" authorId="2" shapeId="0" xr:uid="{C62220BD-97C7-4A17-856C-5446F64BCF75}">
      <text>
        <r>
          <rPr>
            <sz val="11"/>
            <color theme="1"/>
            <rFont val="Calibri"/>
            <family val="2"/>
            <scheme val="minor"/>
          </rPr>
          <t>Introduzca un número con dos decimales como máximo. Debe ser igual o mayor a la "Cantidad Real Consumida"</t>
        </r>
      </text>
    </comment>
    <comment ref="E1678" authorId="2" shapeId="0" xr:uid="{DED74165-7A5F-418E-9A5D-A6F3DE3A7C81}">
      <text>
        <r>
          <rPr>
            <sz val="11"/>
            <color theme="1"/>
            <rFont val="Calibri"/>
            <family val="2"/>
            <scheme val="minor"/>
          </rPr>
          <t>Introduzca un número con dos decimales como máximo</t>
        </r>
      </text>
    </comment>
    <comment ref="F1678" authorId="2" shapeId="0" xr:uid="{ED9FD676-27BD-4389-813D-69F53C13C8D4}">
      <text>
        <r>
          <rPr>
            <sz val="11"/>
            <color theme="1"/>
            <rFont val="Calibri"/>
            <family val="2"/>
            <scheme val="minor"/>
          </rPr>
          <t>Monto calculado automáticamente por el sistema</t>
        </r>
      </text>
    </comment>
    <comment ref="A1685" authorId="2" shapeId="0" xr:uid="{EEBB4D52-C09C-42A9-B721-1770DF8C6135}">
      <text>
        <r>
          <rPr>
            <sz val="11"/>
            <color theme="1"/>
            <rFont val="Calibri"/>
            <family val="2"/>
            <scheme val="minor"/>
          </rPr>
          <t>Introducir un texto con el nombre o referencia de la contratación</t>
        </r>
      </text>
    </comment>
    <comment ref="B1685" authorId="2" shapeId="0" xr:uid="{FA7CEFCB-9B93-45C1-85CA-5F097ED1D8AE}">
      <text>
        <r>
          <rPr>
            <sz val="11"/>
            <color theme="1"/>
            <rFont val="Calibri"/>
            <family val="2"/>
            <scheme val="minor"/>
          </rPr>
          <t>Introduzca un texto con la finalidad de la contratación</t>
        </r>
      </text>
    </comment>
    <comment ref="C1685" authorId="2" shapeId="0" xr:uid="{A4228016-119A-425D-8502-4E021D74DE40}">
      <text>
        <r>
          <rPr>
            <sz val="11"/>
            <color theme="1"/>
            <rFont val="Calibri"/>
            <family val="2"/>
            <scheme val="minor"/>
          </rPr>
          <t>Seleccionar un valor del listado</t>
        </r>
      </text>
    </comment>
    <comment ref="D1685" authorId="2" shapeId="0" xr:uid="{37FE8BAA-EA72-4608-8FF1-6DDFAA2CECC7}">
      <text>
        <r>
          <rPr>
            <sz val="11"/>
            <color theme="1"/>
            <rFont val="Calibri"/>
            <family val="2"/>
            <scheme val="minor"/>
          </rPr>
          <t>Seleccione el tipo de procedimiento</t>
        </r>
      </text>
    </comment>
    <comment ref="E1685" authorId="2" shapeId="0" xr:uid="{3ECA0DEF-FCAA-4397-A58F-F946C30D24C9}">
      <text>
        <r>
          <rPr>
            <sz val="11"/>
            <color theme="1"/>
            <rFont val="Calibri"/>
            <family val="2"/>
            <scheme val="minor"/>
          </rPr>
          <t>Seleccione un valor de la lista</t>
        </r>
      </text>
    </comment>
    <comment ref="F1685" authorId="2" shapeId="0" xr:uid="{6B6917AD-1B7A-45F2-9C6D-C1B60C4BD67C}">
      <text>
        <r>
          <rPr>
            <sz val="11"/>
            <color theme="1"/>
            <rFont val="Calibri"/>
            <family val="2"/>
            <scheme val="minor"/>
          </rPr>
          <t>Introduzca el código SNIP</t>
        </r>
      </text>
    </comment>
    <comment ref="C1686" authorId="2" shapeId="0" xr:uid="{2B38CD2D-FECA-4CD2-8369-C3E3E4958AF4}">
      <text>
        <r>
          <rPr>
            <sz val="11"/>
            <color theme="1"/>
            <rFont val="Calibri"/>
            <family val="2"/>
            <scheme val="minor"/>
          </rPr>
          <t>Introduzca la fecha de inicio del proceso, en formato dd-mm-aaaa</t>
        </r>
      </text>
    </comment>
    <comment ref="F1686" authorId="2" shapeId="0" xr:uid="{C6619F86-C369-452A-AE11-9950BF8486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2" shapeId="0" xr:uid="{C5E396D2-C28D-4399-9120-A409A3A7CAE0}">
      <text/>
    </comment>
    <comment ref="C1688" authorId="2" shapeId="0" xr:uid="{DA420E60-1E18-4926-B371-19BBE4E8BA65}">
      <text>
        <r>
          <rPr>
            <sz val="11"/>
            <color theme="1"/>
            <rFont val="Calibri"/>
            <family val="2"/>
            <scheme val="minor"/>
          </rPr>
          <t>Introduzca la fecha prevista de adjudicación, en formato dd-mm-aaaa</t>
        </r>
      </text>
    </comment>
    <comment ref="F1688" authorId="2" shapeId="0" xr:uid="{580482BB-4279-4435-B2B9-575C2B3049E5}">
      <text/>
    </comment>
    <comment ref="F1689" authorId="2" shapeId="0" xr:uid="{F68E6A31-442C-4102-B67F-A962FD50D7E7}">
      <text/>
    </comment>
    <comment ref="A1691" authorId="2" shapeId="0" xr:uid="{9A435F23-9665-4CAB-8882-73A122D57934}">
      <text>
        <r>
          <rPr>
            <sz val="11"/>
            <color theme="1"/>
            <rFont val="Calibri"/>
            <family val="2"/>
            <scheme val="minor"/>
          </rPr>
          <t>Introduzca un codigo UNSPSC</t>
        </r>
      </text>
    </comment>
    <comment ref="B1691" authorId="2" shapeId="0" xr:uid="{6A20C18F-3051-4827-8049-4DD8AC2F8F03}">
      <text>
        <r>
          <rPr>
            <sz val="11"/>
            <color theme="1"/>
            <rFont val="Calibri"/>
            <family val="2"/>
            <scheme val="minor"/>
          </rPr>
          <t>Descripción calculada automáticamente a partir de código del artículo</t>
        </r>
      </text>
    </comment>
    <comment ref="C1691" authorId="2" shapeId="0" xr:uid="{E4CDCBE4-BABE-4A7D-98A2-183F11AF28DC}">
      <text>
        <r>
          <rPr>
            <sz val="11"/>
            <color theme="1"/>
            <rFont val="Calibri"/>
            <family val="2"/>
            <scheme val="minor"/>
          </rPr>
          <t>Seleccione un valor de la lista</t>
        </r>
      </text>
    </comment>
    <comment ref="D1691" authorId="2" shapeId="0" xr:uid="{B9B50238-3FE7-42CA-8DC7-A3E1736E9AF7}">
      <text>
        <r>
          <rPr>
            <sz val="11"/>
            <color theme="1"/>
            <rFont val="Calibri"/>
            <family val="2"/>
            <scheme val="minor"/>
          </rPr>
          <t>Introduzca un número con dos decimales como máximo. Debe ser igual o mayor a la "Cantidad Real Consumida"</t>
        </r>
      </text>
    </comment>
    <comment ref="E1691" authorId="2" shapeId="0" xr:uid="{25439878-443D-40D9-9E4E-256EE88F1976}">
      <text>
        <r>
          <rPr>
            <sz val="11"/>
            <color theme="1"/>
            <rFont val="Calibri"/>
            <family val="2"/>
            <scheme val="minor"/>
          </rPr>
          <t>Introduzca un número con dos decimales como máximo</t>
        </r>
      </text>
    </comment>
    <comment ref="F1691" authorId="2" shapeId="0" xr:uid="{74B2768E-4234-49CB-8244-C1FA9BE22BAB}">
      <text>
        <r>
          <rPr>
            <sz val="11"/>
            <color theme="1"/>
            <rFont val="Calibri"/>
            <family val="2"/>
            <scheme val="minor"/>
          </rPr>
          <t>Monto calculado automáticamente por el sistema</t>
        </r>
      </text>
    </comment>
    <comment ref="A1696" authorId="2" shapeId="0" xr:uid="{47FF96D6-63E9-491D-8B1E-2FA2F9F4D147}">
      <text>
        <r>
          <rPr>
            <sz val="11"/>
            <color theme="1"/>
            <rFont val="Calibri"/>
            <family val="2"/>
            <scheme val="minor"/>
          </rPr>
          <t>Introducir un texto con el nombre o referencia de la contratación</t>
        </r>
      </text>
    </comment>
    <comment ref="B1696" authorId="2" shapeId="0" xr:uid="{82A20597-C825-4D20-9167-B128E4DB46DF}">
      <text>
        <r>
          <rPr>
            <sz val="11"/>
            <color theme="1"/>
            <rFont val="Calibri"/>
            <family val="2"/>
            <scheme val="minor"/>
          </rPr>
          <t>Introduzca un texto con la finalidad de la contratación</t>
        </r>
      </text>
    </comment>
    <comment ref="C1696" authorId="2" shapeId="0" xr:uid="{3F9FBD21-EB68-4269-9081-D2DC5B9CF508}">
      <text>
        <r>
          <rPr>
            <sz val="11"/>
            <color theme="1"/>
            <rFont val="Calibri"/>
            <family val="2"/>
            <scheme val="minor"/>
          </rPr>
          <t>Seleccionar un valor del listado</t>
        </r>
      </text>
    </comment>
    <comment ref="D1696" authorId="2" shapeId="0" xr:uid="{5A8DAEA3-34A3-4811-80D6-EDE90E1766E6}">
      <text>
        <r>
          <rPr>
            <sz val="11"/>
            <color theme="1"/>
            <rFont val="Calibri"/>
            <family val="2"/>
            <scheme val="minor"/>
          </rPr>
          <t>Seleccione el tipo de procedimiento</t>
        </r>
      </text>
    </comment>
    <comment ref="E1696" authorId="2" shapeId="0" xr:uid="{C6B3B306-72E8-49F8-AC10-DA56D8EE8C55}">
      <text>
        <r>
          <rPr>
            <sz val="11"/>
            <color theme="1"/>
            <rFont val="Calibri"/>
            <family val="2"/>
            <scheme val="minor"/>
          </rPr>
          <t>Seleccione un valor de la lista</t>
        </r>
      </text>
    </comment>
    <comment ref="F1696" authorId="2" shapeId="0" xr:uid="{6D6767B7-C510-438B-8F6C-DD6C214B6166}">
      <text>
        <r>
          <rPr>
            <sz val="11"/>
            <color theme="1"/>
            <rFont val="Calibri"/>
            <family val="2"/>
            <scheme val="minor"/>
          </rPr>
          <t>Introduzca el código SNIP</t>
        </r>
      </text>
    </comment>
    <comment ref="C1697" authorId="2" shapeId="0" xr:uid="{D56AEC1B-4A58-4AB7-A1C4-3E5A3086643C}">
      <text>
        <r>
          <rPr>
            <sz val="11"/>
            <color theme="1"/>
            <rFont val="Calibri"/>
            <family val="2"/>
            <scheme val="minor"/>
          </rPr>
          <t>Introduzca la fecha de inicio del proceso, en formato dd-mm-aaaa</t>
        </r>
      </text>
    </comment>
    <comment ref="F1697" authorId="2" shapeId="0" xr:uid="{748E8B5B-FB1C-4C3D-8D59-9401D71BB9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2" shapeId="0" xr:uid="{88EE14D8-A8A9-4D55-A93D-5DE94F34983C}">
      <text/>
    </comment>
    <comment ref="C1699" authorId="2" shapeId="0" xr:uid="{3C8538E5-7B53-4E65-B0EE-07776FC95A15}">
      <text>
        <r>
          <rPr>
            <sz val="11"/>
            <color theme="1"/>
            <rFont val="Calibri"/>
            <family val="2"/>
            <scheme val="minor"/>
          </rPr>
          <t>Introduzca la fecha prevista de adjudicación, en formato dd-mm-aaaa</t>
        </r>
      </text>
    </comment>
    <comment ref="F1699" authorId="2" shapeId="0" xr:uid="{93132420-3E9F-4D94-9E56-3085AA151A8E}">
      <text/>
    </comment>
    <comment ref="F1700" authorId="2" shapeId="0" xr:uid="{698058CD-EDFF-4A50-99EE-998EE5A4B0B2}">
      <text/>
    </comment>
    <comment ref="A1702" authorId="2" shapeId="0" xr:uid="{23504105-DC34-4A4C-810C-F09C569A39B6}">
      <text>
        <r>
          <rPr>
            <sz val="11"/>
            <color theme="1"/>
            <rFont val="Calibri"/>
            <family val="2"/>
            <scheme val="minor"/>
          </rPr>
          <t>Introduzca un codigo UNSPSC</t>
        </r>
      </text>
    </comment>
    <comment ref="B1702" authorId="2" shapeId="0" xr:uid="{A93C5209-1DE7-4509-B98A-F76B5F3F00B5}">
      <text>
        <r>
          <rPr>
            <sz val="11"/>
            <color theme="1"/>
            <rFont val="Calibri"/>
            <family val="2"/>
            <scheme val="minor"/>
          </rPr>
          <t>Descripción calculada automáticamente a partir de código del artículo</t>
        </r>
      </text>
    </comment>
    <comment ref="C1702" authorId="2" shapeId="0" xr:uid="{F6208413-752A-4BD3-9ED2-74124C33B26B}">
      <text>
        <r>
          <rPr>
            <sz val="11"/>
            <color theme="1"/>
            <rFont val="Calibri"/>
            <family val="2"/>
            <scheme val="minor"/>
          </rPr>
          <t>Seleccione un valor de la lista</t>
        </r>
      </text>
    </comment>
    <comment ref="D1702" authorId="2" shapeId="0" xr:uid="{C2E45BF1-667C-4AC3-811C-E57BF25018A0}">
      <text>
        <r>
          <rPr>
            <sz val="11"/>
            <color theme="1"/>
            <rFont val="Calibri"/>
            <family val="2"/>
            <scheme val="minor"/>
          </rPr>
          <t>Introduzca un número con dos decimales como máximo. Debe ser igual o mayor a la "Cantidad Real Consumida"</t>
        </r>
      </text>
    </comment>
    <comment ref="E1702" authorId="2" shapeId="0" xr:uid="{D6976185-E2C5-4CBC-91D2-ECA85419DFEC}">
      <text>
        <r>
          <rPr>
            <sz val="11"/>
            <color theme="1"/>
            <rFont val="Calibri"/>
            <family val="2"/>
            <scheme val="minor"/>
          </rPr>
          <t>Introduzca un número con dos decimales como máximo</t>
        </r>
      </text>
    </comment>
    <comment ref="F1702" authorId="2" shapeId="0" xr:uid="{51DC5AC2-4FD8-4BEB-94D9-A45243C49217}">
      <text>
        <r>
          <rPr>
            <sz val="11"/>
            <color theme="1"/>
            <rFont val="Calibri"/>
            <family val="2"/>
            <scheme val="minor"/>
          </rPr>
          <t>Monto calculado automáticamente por el sistema</t>
        </r>
      </text>
    </comment>
    <comment ref="A1707" authorId="2" shapeId="0" xr:uid="{5A71091F-7DFC-4392-8AE0-4178531CDA38}">
      <text>
        <r>
          <rPr>
            <sz val="11"/>
            <color theme="1"/>
            <rFont val="Calibri"/>
            <family val="2"/>
            <scheme val="minor"/>
          </rPr>
          <t>Introducir un texto con el nombre o referencia de la contratación</t>
        </r>
      </text>
    </comment>
    <comment ref="B1707" authorId="2" shapeId="0" xr:uid="{ABD8E918-3922-4DF2-9FB6-A6F93F5575BA}">
      <text>
        <r>
          <rPr>
            <sz val="11"/>
            <color theme="1"/>
            <rFont val="Calibri"/>
            <family val="2"/>
            <scheme val="minor"/>
          </rPr>
          <t>Introduzca un texto con la finalidad de la contratación</t>
        </r>
      </text>
    </comment>
    <comment ref="C1707" authorId="2" shapeId="0" xr:uid="{B557F83E-1019-43E9-BFA6-1A2027899026}">
      <text>
        <r>
          <rPr>
            <sz val="11"/>
            <color theme="1"/>
            <rFont val="Calibri"/>
            <family val="2"/>
            <scheme val="minor"/>
          </rPr>
          <t>Seleccionar un valor del listado</t>
        </r>
      </text>
    </comment>
    <comment ref="D1707" authorId="2" shapeId="0" xr:uid="{A028FA16-C514-49F5-A4AA-AA14EC187B31}">
      <text>
        <r>
          <rPr>
            <sz val="11"/>
            <color theme="1"/>
            <rFont val="Calibri"/>
            <family val="2"/>
            <scheme val="minor"/>
          </rPr>
          <t>Seleccione el tipo de procedimiento</t>
        </r>
      </text>
    </comment>
    <comment ref="E1707" authorId="2" shapeId="0" xr:uid="{8598564D-13DC-407E-96D0-0CD49FB4DB75}">
      <text>
        <r>
          <rPr>
            <sz val="11"/>
            <color theme="1"/>
            <rFont val="Calibri"/>
            <family val="2"/>
            <scheme val="minor"/>
          </rPr>
          <t>Seleccione un valor de la lista</t>
        </r>
      </text>
    </comment>
    <comment ref="F1707" authorId="2" shapeId="0" xr:uid="{2BD66C06-59A6-4D94-B975-EDB6B7B49420}">
      <text>
        <r>
          <rPr>
            <sz val="11"/>
            <color theme="1"/>
            <rFont val="Calibri"/>
            <family val="2"/>
            <scheme val="minor"/>
          </rPr>
          <t>Introduzca el código SNIP</t>
        </r>
      </text>
    </comment>
    <comment ref="C1708" authorId="2" shapeId="0" xr:uid="{872569B2-DBBF-4A37-9957-F32CFE1A2308}">
      <text>
        <r>
          <rPr>
            <sz val="11"/>
            <color theme="1"/>
            <rFont val="Calibri"/>
            <family val="2"/>
            <scheme val="minor"/>
          </rPr>
          <t>Introduzca la fecha de inicio del proceso, en formato dd-mm-aaaa</t>
        </r>
      </text>
    </comment>
    <comment ref="F1708" authorId="2" shapeId="0" xr:uid="{50E7DAAE-90D9-43B6-9F4A-2807EADA6D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2" shapeId="0" xr:uid="{BAD492B0-0B1B-4FB7-9D6B-F937DF021C5C}">
      <text/>
    </comment>
    <comment ref="C1710" authorId="2" shapeId="0" xr:uid="{CDEE4445-E3E4-4F48-9ED4-A76FAAED7419}">
      <text>
        <r>
          <rPr>
            <sz val="11"/>
            <color theme="1"/>
            <rFont val="Calibri"/>
            <family val="2"/>
            <scheme val="minor"/>
          </rPr>
          <t>Introduzca la fecha prevista de adjudicación, en formato dd-mm-aaaa</t>
        </r>
      </text>
    </comment>
    <comment ref="F1710" authorId="2" shapeId="0" xr:uid="{F16D392D-A78E-4B19-9E03-D903ECC7B6F1}">
      <text/>
    </comment>
    <comment ref="F1711" authorId="2" shapeId="0" xr:uid="{D0F113E1-678D-49C9-87B1-7472E0334F8D}">
      <text/>
    </comment>
    <comment ref="A1713" authorId="2" shapeId="0" xr:uid="{9D258709-36F4-4758-8F91-29B16F4F5A85}">
      <text>
        <r>
          <rPr>
            <sz val="11"/>
            <color theme="1"/>
            <rFont val="Calibri"/>
            <family val="2"/>
            <scheme val="minor"/>
          </rPr>
          <t>Introduzca un codigo UNSPSC</t>
        </r>
      </text>
    </comment>
    <comment ref="B1713" authorId="2" shapeId="0" xr:uid="{5239FAFC-518D-4DD6-996D-0F3B48C14E19}">
      <text>
        <r>
          <rPr>
            <sz val="11"/>
            <color theme="1"/>
            <rFont val="Calibri"/>
            <family val="2"/>
            <scheme val="minor"/>
          </rPr>
          <t>Descripción calculada automáticamente a partir de código del artículo</t>
        </r>
      </text>
    </comment>
    <comment ref="C1713" authorId="2" shapeId="0" xr:uid="{27D8CBA1-C355-4D85-9C29-DA12F0A80C37}">
      <text>
        <r>
          <rPr>
            <sz val="11"/>
            <color theme="1"/>
            <rFont val="Calibri"/>
            <family val="2"/>
            <scheme val="minor"/>
          </rPr>
          <t>Seleccione un valor de la lista</t>
        </r>
      </text>
    </comment>
    <comment ref="D1713" authorId="2" shapeId="0" xr:uid="{BE8E663D-CC31-466D-B57C-B2938D00668C}">
      <text>
        <r>
          <rPr>
            <sz val="11"/>
            <color theme="1"/>
            <rFont val="Calibri"/>
            <family val="2"/>
            <scheme val="minor"/>
          </rPr>
          <t>Introduzca un número con dos decimales como máximo. Debe ser igual o mayor a la "Cantidad Real Consumida"</t>
        </r>
      </text>
    </comment>
    <comment ref="E1713" authorId="2" shapeId="0" xr:uid="{20C94BC9-8898-4ACA-9D7F-18A55D2952F7}">
      <text>
        <r>
          <rPr>
            <sz val="11"/>
            <color theme="1"/>
            <rFont val="Calibri"/>
            <family val="2"/>
            <scheme val="minor"/>
          </rPr>
          <t>Introduzca un número con dos decimales como máximo</t>
        </r>
      </text>
    </comment>
    <comment ref="F1713" authorId="2" shapeId="0" xr:uid="{54C3EDC9-BADF-476B-BCC4-B105345D58F5}">
      <text>
        <r>
          <rPr>
            <sz val="11"/>
            <color theme="1"/>
            <rFont val="Calibri"/>
            <family val="2"/>
            <scheme val="minor"/>
          </rPr>
          <t>Monto calculado automáticamente por el sistema</t>
        </r>
      </text>
    </comment>
    <comment ref="A1718" authorId="2" shapeId="0" xr:uid="{4E40D84E-9181-46EE-9B72-B3FA05072E3D}">
      <text>
        <r>
          <rPr>
            <sz val="11"/>
            <color theme="1"/>
            <rFont val="Calibri"/>
            <family val="2"/>
            <scheme val="minor"/>
          </rPr>
          <t>Introducir un texto con el nombre o referencia de la contratación</t>
        </r>
      </text>
    </comment>
    <comment ref="B1718" authorId="2" shapeId="0" xr:uid="{F3515664-1D80-410C-9BF6-C56F6230DC13}">
      <text>
        <r>
          <rPr>
            <sz val="11"/>
            <color theme="1"/>
            <rFont val="Calibri"/>
            <family val="2"/>
            <scheme val="minor"/>
          </rPr>
          <t>Introduzca un texto con la finalidad de la contratación</t>
        </r>
      </text>
    </comment>
    <comment ref="C1718" authorId="2" shapeId="0" xr:uid="{19ACAFB9-DA96-467E-AC32-34567BC74F1F}">
      <text>
        <r>
          <rPr>
            <sz val="11"/>
            <color theme="1"/>
            <rFont val="Calibri"/>
            <family val="2"/>
            <scheme val="minor"/>
          </rPr>
          <t>Seleccionar un valor del listado</t>
        </r>
      </text>
    </comment>
    <comment ref="D1718" authorId="2" shapeId="0" xr:uid="{6C81A3F2-0CC5-45DF-B669-B58112EB4D5F}">
      <text>
        <r>
          <rPr>
            <sz val="11"/>
            <color theme="1"/>
            <rFont val="Calibri"/>
            <family val="2"/>
            <scheme val="minor"/>
          </rPr>
          <t>Seleccione el tipo de procedimiento</t>
        </r>
      </text>
    </comment>
    <comment ref="E1718" authorId="2" shapeId="0" xr:uid="{92116668-B599-487E-8749-765AD93DAAB9}">
      <text>
        <r>
          <rPr>
            <sz val="11"/>
            <color theme="1"/>
            <rFont val="Calibri"/>
            <family val="2"/>
            <scheme val="minor"/>
          </rPr>
          <t>Seleccione un valor de la lista</t>
        </r>
      </text>
    </comment>
    <comment ref="F1718" authorId="2" shapeId="0" xr:uid="{A7447ABC-E0DE-46AE-B404-77E9DE26D6F0}">
      <text>
        <r>
          <rPr>
            <sz val="11"/>
            <color theme="1"/>
            <rFont val="Calibri"/>
            <family val="2"/>
            <scheme val="minor"/>
          </rPr>
          <t>Introduzca el código SNIP</t>
        </r>
      </text>
    </comment>
    <comment ref="C1719" authorId="2" shapeId="0" xr:uid="{8BD7C4F6-1814-4AE3-852B-154B5F480364}">
      <text>
        <r>
          <rPr>
            <sz val="11"/>
            <color theme="1"/>
            <rFont val="Calibri"/>
            <family val="2"/>
            <scheme val="minor"/>
          </rPr>
          <t>Introduzca la fecha de inicio del proceso, en formato dd-mm-aaaa</t>
        </r>
      </text>
    </comment>
    <comment ref="F1719" authorId="2" shapeId="0" xr:uid="{78BC6DAF-1A64-494E-BC4F-A93A32DD3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xr:uid="{E97C7D6A-83A6-435F-A20D-9D7716B0EA25}">
      <text/>
    </comment>
    <comment ref="C1721" authorId="2" shapeId="0" xr:uid="{EF986844-1C45-4343-9012-3A650AF32A95}">
      <text>
        <r>
          <rPr>
            <sz val="11"/>
            <color theme="1"/>
            <rFont val="Calibri"/>
            <family val="2"/>
            <scheme val="minor"/>
          </rPr>
          <t>Introduzca la fecha prevista de adjudicación, en formato dd-mm-aaaa</t>
        </r>
      </text>
    </comment>
    <comment ref="F1721" authorId="2" shapeId="0" xr:uid="{DD7E04DD-28B3-4DDF-BC0F-EEFC86BE2A55}">
      <text/>
    </comment>
    <comment ref="F1722" authorId="2" shapeId="0" xr:uid="{FDC65CDC-5459-4D61-9766-CFFB0BED519F}">
      <text/>
    </comment>
    <comment ref="A1724" authorId="2" shapeId="0" xr:uid="{1AD8BB4F-734B-4CDC-85E3-207CD47F155F}">
      <text>
        <r>
          <rPr>
            <sz val="11"/>
            <color theme="1"/>
            <rFont val="Calibri"/>
            <family val="2"/>
            <scheme val="minor"/>
          </rPr>
          <t>Introduzca un codigo UNSPSC</t>
        </r>
      </text>
    </comment>
    <comment ref="B1724" authorId="2" shapeId="0" xr:uid="{EF349BB0-3D0D-4E17-B70B-62F286D0C48F}">
      <text>
        <r>
          <rPr>
            <sz val="11"/>
            <color theme="1"/>
            <rFont val="Calibri"/>
            <family val="2"/>
            <scheme val="minor"/>
          </rPr>
          <t>Descripción calculada automáticamente a partir de código del artículo</t>
        </r>
      </text>
    </comment>
    <comment ref="C1724" authorId="2" shapeId="0" xr:uid="{2970E4FB-1FF7-4DAA-84C2-EE8F5653E2BA}">
      <text>
        <r>
          <rPr>
            <sz val="11"/>
            <color theme="1"/>
            <rFont val="Calibri"/>
            <family val="2"/>
            <scheme val="minor"/>
          </rPr>
          <t>Seleccione un valor de la lista</t>
        </r>
      </text>
    </comment>
    <comment ref="D1724" authorId="2" shapeId="0" xr:uid="{1FD1723B-1FDE-496B-AC3B-8C1CAA691F41}">
      <text>
        <r>
          <rPr>
            <sz val="11"/>
            <color theme="1"/>
            <rFont val="Calibri"/>
            <family val="2"/>
            <scheme val="minor"/>
          </rPr>
          <t>Introduzca un número con dos decimales como máximo. Debe ser igual o mayor a la "Cantidad Real Consumida"</t>
        </r>
      </text>
    </comment>
    <comment ref="E1724" authorId="2" shapeId="0" xr:uid="{E75E841A-ECA5-418A-9263-CEB6947BF8BD}">
      <text>
        <r>
          <rPr>
            <sz val="11"/>
            <color theme="1"/>
            <rFont val="Calibri"/>
            <family val="2"/>
            <scheme val="minor"/>
          </rPr>
          <t>Introduzca un número con dos decimales como máximo</t>
        </r>
      </text>
    </comment>
    <comment ref="F1724" authorId="2" shapeId="0" xr:uid="{D0FF7CE0-410D-44EA-8D3E-06581BE7075B}">
      <text>
        <r>
          <rPr>
            <sz val="11"/>
            <color theme="1"/>
            <rFont val="Calibri"/>
            <family val="2"/>
            <scheme val="minor"/>
          </rPr>
          <t>Monto calculado automáticamente por el sistema</t>
        </r>
      </text>
    </comment>
    <comment ref="A1729" authorId="2" shapeId="0" xr:uid="{157FC786-44C8-4C94-BC30-91184FAE1DC8}">
      <text>
        <r>
          <rPr>
            <sz val="11"/>
            <color theme="1"/>
            <rFont val="Calibri"/>
            <family val="2"/>
            <scheme val="minor"/>
          </rPr>
          <t>Introducir un texto con el nombre o referencia de la contratación</t>
        </r>
      </text>
    </comment>
    <comment ref="B1729" authorId="2" shapeId="0" xr:uid="{DF0D4E63-1C3C-47DD-B00D-C401A641061C}">
      <text>
        <r>
          <rPr>
            <sz val="11"/>
            <color theme="1"/>
            <rFont val="Calibri"/>
            <family val="2"/>
            <scheme val="minor"/>
          </rPr>
          <t>Introduzca un texto con la finalidad de la contratación</t>
        </r>
      </text>
    </comment>
    <comment ref="C1729" authorId="2" shapeId="0" xr:uid="{4F14C953-F63A-4E10-8BD3-392374770E76}">
      <text>
        <r>
          <rPr>
            <sz val="11"/>
            <color theme="1"/>
            <rFont val="Calibri"/>
            <family val="2"/>
            <scheme val="minor"/>
          </rPr>
          <t>Seleccionar un valor del listado</t>
        </r>
      </text>
    </comment>
    <comment ref="D1729" authorId="2" shapeId="0" xr:uid="{BBAD73ED-15DE-4A72-90EB-4E0D47BFBBC3}">
      <text>
        <r>
          <rPr>
            <sz val="11"/>
            <color theme="1"/>
            <rFont val="Calibri"/>
            <family val="2"/>
            <scheme val="minor"/>
          </rPr>
          <t>Seleccione el tipo de procedimiento</t>
        </r>
      </text>
    </comment>
    <comment ref="E1729" authorId="2" shapeId="0" xr:uid="{0206A7D0-C407-4BDB-8ED7-5ACC70356EBE}">
      <text>
        <r>
          <rPr>
            <sz val="11"/>
            <color theme="1"/>
            <rFont val="Calibri"/>
            <family val="2"/>
            <scheme val="minor"/>
          </rPr>
          <t>Seleccione un valor de la lista</t>
        </r>
      </text>
    </comment>
    <comment ref="F1729" authorId="2" shapeId="0" xr:uid="{F50E70EA-959B-42E8-9B5F-F6F797EBF8B8}">
      <text>
        <r>
          <rPr>
            <sz val="11"/>
            <color theme="1"/>
            <rFont val="Calibri"/>
            <family val="2"/>
            <scheme val="minor"/>
          </rPr>
          <t>Introduzca el código SNIP</t>
        </r>
      </text>
    </comment>
    <comment ref="C1730" authorId="2" shapeId="0" xr:uid="{D52A26A3-0CEA-40FD-B16F-8599589FAFE0}">
      <text>
        <r>
          <rPr>
            <sz val="11"/>
            <color theme="1"/>
            <rFont val="Calibri"/>
            <family val="2"/>
            <scheme val="minor"/>
          </rPr>
          <t>Introduzca la fecha de inicio del proceso, en formato dd-mm-aaaa</t>
        </r>
      </text>
    </comment>
    <comment ref="F1730" authorId="2" shapeId="0" xr:uid="{7746066A-FDE4-4C67-A935-E273681F7F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2" shapeId="0" xr:uid="{E1810A2A-12EB-428E-8125-C882C373B86B}">
      <text/>
    </comment>
    <comment ref="C1732" authorId="2" shapeId="0" xr:uid="{E330135A-87E2-4A5B-BC26-6AB663967F15}">
      <text>
        <r>
          <rPr>
            <sz val="11"/>
            <color theme="1"/>
            <rFont val="Calibri"/>
            <family val="2"/>
            <scheme val="minor"/>
          </rPr>
          <t>Introduzca la fecha prevista de adjudicación, en formato dd-mm-aaaa</t>
        </r>
      </text>
    </comment>
    <comment ref="F1732" authorId="2" shapeId="0" xr:uid="{19382158-4F61-4B0E-BDCF-8B5F79BFDCFC}">
      <text/>
    </comment>
    <comment ref="F1733" authorId="2" shapeId="0" xr:uid="{93A182ED-EBC6-4C17-848A-9E5BCDF3CD67}">
      <text/>
    </comment>
    <comment ref="A1735" authorId="2" shapeId="0" xr:uid="{DC0655C8-B8CC-409A-8C73-CE70078CB75A}">
      <text>
        <r>
          <rPr>
            <sz val="11"/>
            <color theme="1"/>
            <rFont val="Calibri"/>
            <family val="2"/>
            <scheme val="minor"/>
          </rPr>
          <t>Introduzca un codigo UNSPSC</t>
        </r>
      </text>
    </comment>
    <comment ref="B1735" authorId="2" shapeId="0" xr:uid="{63EABFF8-93F4-4858-AE18-151342B15C7D}">
      <text>
        <r>
          <rPr>
            <sz val="11"/>
            <color theme="1"/>
            <rFont val="Calibri"/>
            <family val="2"/>
            <scheme val="minor"/>
          </rPr>
          <t>Descripción calculada automáticamente a partir de código del artículo</t>
        </r>
      </text>
    </comment>
    <comment ref="C1735" authorId="2" shapeId="0" xr:uid="{F1A30447-2DC5-4CFC-88C6-837E50D6C9E6}">
      <text>
        <r>
          <rPr>
            <sz val="11"/>
            <color theme="1"/>
            <rFont val="Calibri"/>
            <family val="2"/>
            <scheme val="minor"/>
          </rPr>
          <t>Seleccione un valor de la lista</t>
        </r>
      </text>
    </comment>
    <comment ref="D1735" authorId="2" shapeId="0" xr:uid="{4E586A8E-7A8F-4F13-A1C5-47F9703A3CEE}">
      <text>
        <r>
          <rPr>
            <sz val="11"/>
            <color theme="1"/>
            <rFont val="Calibri"/>
            <family val="2"/>
            <scheme val="minor"/>
          </rPr>
          <t>Introduzca un número con dos decimales como máximo. Debe ser igual o mayor a la "Cantidad Real Consumida"</t>
        </r>
      </text>
    </comment>
    <comment ref="E1735" authorId="2" shapeId="0" xr:uid="{3ACF4D77-68E2-4896-99B6-CCE83B321B08}">
      <text>
        <r>
          <rPr>
            <sz val="11"/>
            <color theme="1"/>
            <rFont val="Calibri"/>
            <family val="2"/>
            <scheme val="minor"/>
          </rPr>
          <t>Introduzca un número con dos decimales como máximo</t>
        </r>
      </text>
    </comment>
    <comment ref="F1735" authorId="2" shapeId="0" xr:uid="{EF726AE1-F685-40AF-A637-21C7931E3A0E}">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<sst xmlns="http://schemas.openxmlformats.org/spreadsheetml/2006/main" count="25624" uniqueCount="18923">
  <si>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</si>
  <si>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</si>
  <si>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</si>
  <si>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</si>
  <si>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</si>
  <si>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</si>
  <si>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</si>
  <si>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</si>
  <si>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</si>
  <si>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</si>
  <si>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</si>
  <si>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</si>
  <si>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</si>
  <si>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</si>
  <si>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</si>
  <si>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</si>
  <si>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</si>
  <si>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</si>
  <si>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</si>
  <si>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</si>
  <si>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</si>
  <si>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</si>
  <si>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</si>
  <si>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</si>
  <si>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</si>
  <si>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</si>
  <si>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</si>
  <si>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</si>
  <si>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</si>
  <si>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</si>
  <si>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</si>
  <si>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</si>
  <si>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</si>
  <si>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</si>
  <si>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</si>
  <si>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</si>
  <si>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</si>
  <si>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</si>
  <si>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</si>
  <si>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</si>
  <si>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</si>
  <si>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</si>
  <si>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</si>
  <si>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</si>
  <si>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</si>
  <si>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</si>
  <si>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</si>
  <si>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</si>
  <si>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</si>
  <si>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</si>
  <si>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</si>
  <si>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</si>
  <si>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</si>
  <si>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</si>
  <si>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</si>
  <si>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</si>
  <si>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</si>
  <si>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</si>
  <si>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</si>
  <si>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</si>
  <si>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</si>
  <si>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</si>
  <si>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</si>
  <si>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</si>
  <si>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</si>
  <si>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</si>
  <si>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</si>
  <si>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</si>
  <si>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</si>
  <si>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</si>
  <si>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</si>
  <si>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</si>
  <si>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</si>
  <si>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</si>
  <si>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</si>
  <si>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</si>
  <si>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</si>
  <si>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</si>
  <si>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</si>
  <si>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</si>
  <si>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</si>
  <si>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</si>
  <si>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</si>
  <si>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</si>
  <si>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</si>
  <si>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</si>
  <si>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</si>
  <si>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</si>
  <si>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</si>
  <si>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</si>
  <si>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</si>
  <si>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</si>
  <si>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</si>
  <si>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</si>
  <si>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</si>
  <si>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</si>
  <si>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</si>
  <si>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</si>
  <si>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</si>
  <si>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</si>
  <si>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</si>
  <si>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</si>
  <si>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</si>
  <si>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</si>
  <si>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</si>
  <si>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</si>
  <si>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</si>
  <si>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</si>
  <si>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</si>
  <si>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</si>
  <si>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</si>
  <si>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</si>
  <si>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</si>
  <si>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</si>
  <si>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</si>
  <si>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</si>
  <si>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</si>
  <si>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</si>
  <si>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</si>
  <si>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</si>
  <si>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</si>
  <si>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</si>
  <si>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</si>
  <si>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</si>
  <si>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</si>
  <si>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</si>
  <si>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</si>
  <si>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</si>
  <si>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</si>
  <si>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</si>
  <si>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</si>
  <si>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</si>
  <si>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</si>
  <si>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</si>
  <si>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</si>
  <si>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</si>
  <si>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</si>
  <si>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</si>
  <si>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</si>
  <si>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</si>
  <si>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</si>
  <si>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</si>
  <si>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</si>
  <si>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</si>
  <si>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</si>
  <si>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</si>
  <si>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</si>
  <si>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</si>
  <si>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</si>
  <si>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</si>
  <si>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</si>
  <si>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</si>
  <si>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</si>
  <si>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</si>
  <si>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</si>
  <si>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</si>
  <si>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</si>
  <si>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</si>
  <si>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</si>
  <si>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</si>
  <si>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</si>
  <si>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</si>
  <si>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</si>
  <si>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</si>
  <si>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</si>
  <si>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</si>
  <si>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</si>
  <si>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</si>
  <si>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</si>
  <si>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</si>
  <si>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</si>
  <si>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</si>
  <si>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</si>
  <si>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</si>
  <si>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</si>
  <si>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</si>
  <si>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</si>
  <si>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</si>
  <si>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</si>
  <si>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</si>
  <si>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</si>
  <si>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</si>
  <si>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</si>
  <si>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</si>
  <si>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</si>
  <si>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</si>
  <si>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</si>
  <si>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</si>
  <si>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</si>
  <si>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</si>
  <si>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</si>
  <si>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</si>
  <si>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</si>
  <si>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</si>
  <si>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</si>
  <si>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</si>
  <si>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</si>
  <si>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</si>
  <si>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</si>
  <si>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</si>
  <si>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</si>
  <si>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</si>
  <si>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</si>
  <si>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</si>
  <si>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</si>
  <si>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</si>
  <si>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</si>
  <si>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</si>
  <si>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</si>
  <si>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</si>
  <si>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</si>
  <si>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</si>
  <si>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</si>
  <si>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</si>
  <si>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</si>
  <si>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</si>
  <si>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</si>
  <si>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</si>
  <si>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</si>
  <si>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</si>
  <si>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</si>
  <si>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</si>
  <si>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</si>
  <si>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</si>
  <si>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</si>
  <si>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</si>
  <si>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</si>
  <si>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</si>
  <si>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</si>
  <si>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</si>
  <si>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</si>
  <si>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</si>
  <si>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</si>
  <si>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</si>
  <si>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</si>
  <si>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</si>
  <si>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</si>
  <si>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</si>
  <si>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</si>
  <si>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</si>
  <si>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</si>
  <si>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</si>
  <si>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</si>
  <si>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</si>
  <si>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</si>
  <si>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</si>
  <si>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</si>
  <si>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</si>
  <si>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</si>
  <si>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</si>
  <si>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</si>
  <si>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</si>
  <si>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</si>
  <si>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</si>
  <si>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</si>
  <si>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</si>
  <si>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</si>
  <si>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</si>
  <si>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</si>
  <si>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</si>
  <si>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</si>
  <si>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</si>
  <si>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</si>
  <si>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</si>
  <si>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</si>
  <si>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</si>
  <si>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</si>
  <si>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</si>
  <si>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</si>
  <si>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</si>
  <si>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</si>
  <si>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</si>
  <si>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</si>
  <si>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</si>
  <si>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</si>
  <si>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</si>
  <si>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</si>
  <si>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</si>
  <si>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</si>
  <si>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</si>
  <si>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</si>
  <si>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</si>
  <si>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</si>
  <si>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</si>
  <si>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</si>
  <si>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</si>
  <si>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</si>
  <si>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</si>
  <si>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</si>
  <si>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</si>
  <si>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</si>
  <si>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</si>
  <si>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</si>
  <si>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</si>
  <si>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</si>
  <si>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</si>
  <si>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</si>
  <si>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</si>
  <si>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</si>
  <si>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</si>
  <si>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</si>
  <si>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</si>
  <si>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</si>
  <si>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</si>
  <si>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</si>
  <si>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</si>
  <si>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</si>
  <si>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</si>
  <si>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</si>
  <si>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</si>
  <si>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</si>
  <si>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</si>
  <si>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</si>
  <si>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</si>
  <si>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</si>
  <si>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</si>
  <si>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</si>
  <si>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</si>
  <si>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</si>
  <si>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</si>
  <si>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</si>
  <si>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</si>
  <si>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</si>
  <si>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</si>
  <si>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</si>
  <si>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</si>
  <si>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</si>
  <si>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</si>
  <si>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</si>
  <si>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</si>
  <si>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</si>
  <si>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</si>
  <si>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</si>
  <si>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</si>
  <si>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</si>
  <si>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</si>
  <si>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</si>
  <si>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</si>
  <si>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</si>
  <si>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</si>
  <si>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</si>
  <si>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</si>
  <si>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</si>
  <si>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</si>
  <si>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</si>
  <si>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</si>
  <si>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</si>
  <si>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</si>
  <si>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</si>
  <si>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</si>
  <si>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</si>
  <si>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</si>
  <si>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</si>
  <si>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</si>
  <si>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</si>
  <si>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</si>
  <si>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</si>
  <si>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</si>
  <si>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</si>
  <si>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</si>
  <si>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</si>
  <si>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</si>
  <si>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</si>
  <si>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</si>
  <si>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</si>
  <si>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</si>
  <si>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</si>
  <si>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</si>
  <si>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</si>
  <si>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</si>
  <si>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</si>
  <si>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</si>
  <si>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</si>
  <si>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</si>
  <si>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</si>
  <si>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</si>
  <si>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</si>
  <si>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</si>
  <si>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</si>
  <si>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</si>
  <si>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</si>
  <si>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</si>
  <si>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</si>
  <si>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</si>
  <si>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</si>
  <si>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</si>
  <si>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</si>
  <si>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</si>
  <si>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</si>
  <si>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</si>
  <si>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</si>
  <si>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</si>
  <si>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</si>
  <si>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</si>
  <si>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</si>
  <si>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</si>
  <si>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</si>
  <si>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</si>
  <si>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</si>
  <si>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</si>
  <si>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</si>
  <si>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</si>
  <si>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</si>
  <si>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</si>
  <si>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</si>
  <si>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</si>
  <si>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</si>
  <si>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</si>
  <si>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</si>
  <si>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</si>
  <si>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</si>
  <si>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</si>
  <si>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</si>
  <si>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</si>
  <si>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</si>
  <si>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</si>
  <si>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</si>
  <si>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</si>
  <si>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</si>
  <si>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</si>
  <si>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</si>
  <si>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</si>
  <si>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</si>
  <si>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</si>
  <si>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</si>
  <si>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</si>
  <si>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</si>
  <si>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</si>
  <si>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</si>
  <si>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</si>
  <si>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</si>
  <si>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</si>
  <si>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</si>
  <si>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</si>
  <si>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</si>
  <si>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</si>
  <si>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</si>
  <si>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</si>
  <si>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</si>
  <si>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</si>
  <si>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</si>
  <si>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</si>
  <si>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</si>
  <si>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</si>
  <si>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</si>
  <si>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</si>
  <si>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</si>
  <si>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</si>
  <si>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</si>
  <si>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</si>
  <si>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</si>
  <si>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</si>
  <si>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</si>
  <si>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</si>
  <si>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</si>
  <si>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</si>
  <si>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</si>
  <si>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</si>
  <si>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</si>
  <si>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</si>
  <si>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</si>
  <si>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</si>
  <si>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</si>
  <si>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</si>
  <si>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</si>
  <si>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</si>
  <si>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</si>
  <si>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</si>
  <si>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</si>
  <si>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</si>
  <si>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</si>
  <si>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</si>
  <si>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</si>
  <si>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</si>
  <si>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</si>
  <si>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</si>
  <si>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</si>
  <si>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</si>
  <si>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</si>
  <si>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</si>
  <si>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</si>
  <si>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</si>
  <si>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</si>
  <si>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</si>
  <si>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</si>
  <si>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</si>
  <si>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</si>
  <si>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</si>
  <si>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</si>
  <si>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</si>
  <si>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</si>
  <si>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</si>
  <si>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</si>
  <si>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</si>
  <si>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</si>
  <si>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</si>
  <si>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</si>
  <si>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</si>
  <si>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</si>
  <si>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</si>
  <si>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</si>
  <si>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</si>
  <si>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</si>
  <si>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</si>
  <si>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</si>
  <si>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</si>
  <si>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</si>
  <si>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</si>
  <si>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</si>
  <si>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</si>
  <si>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</si>
  <si>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</si>
  <si>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</si>
  <si>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</si>
  <si>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</si>
  <si>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</si>
  <si>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</si>
  <si>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</si>
  <si>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</si>
  <si>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</si>
  <si>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</si>
  <si>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</si>
  <si>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</si>
  <si>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</si>
  <si>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</si>
  <si>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</si>
  <si>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</si>
  <si>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</si>
  <si>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</si>
  <si>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</si>
  <si>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</si>
  <si>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</si>
  <si>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</si>
  <si>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</si>
  <si>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</si>
  <si>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</si>
  <si>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</si>
  <si>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</si>
  <si>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</si>
  <si>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</si>
  <si>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</si>
  <si>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</si>
  <si>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</si>
  <si>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</si>
  <si>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</si>
  <si>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</si>
  <si>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</si>
  <si>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</si>
  <si>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</si>
  <si>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</si>
  <si>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</si>
  <si>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</si>
  <si>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</si>
  <si>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</si>
  <si>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</si>
  <si>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</si>
  <si>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</si>
  <si>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</si>
  <si>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</si>
  <si>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</si>
  <si>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</si>
  <si>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</si>
  <si>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</si>
  <si>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</si>
  <si>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</si>
  <si>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</si>
  <si>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</si>
  <si>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</si>
  <si>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</si>
  <si>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</si>
  <si>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</si>
  <si>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</si>
  <si>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</si>
  <si>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</si>
  <si>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</si>
  <si>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</si>
  <si>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</si>
  <si>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</si>
  <si>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</si>
  <si>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</si>
  <si>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</si>
  <si>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</si>
  <si>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</si>
  <si>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</si>
  <si>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</si>
  <si>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</si>
  <si>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</si>
  <si>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</si>
  <si>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</si>
  <si>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</si>
  <si>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</si>
  <si>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</si>
  <si>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</si>
  <si>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</si>
  <si>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</si>
  <si>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</si>
  <si>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</si>
  <si>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</si>
  <si>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</si>
  <si>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</si>
  <si>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</si>
  <si>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</si>
  <si>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</si>
  <si>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</si>
  <si>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</si>
  <si>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</si>
  <si>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</si>
  <si>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</si>
  <si>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</si>
  <si>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</si>
  <si>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</si>
  <si>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</si>
  <si>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</si>
  <si>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</si>
  <si>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</si>
  <si>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</si>
  <si>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</si>
  <si>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</si>
  <si>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</si>
  <si>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</si>
  <si>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</si>
  <si>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</si>
  <si>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</si>
  <si>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</si>
  <si>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</si>
  <si>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</si>
  <si>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</si>
  <si>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</si>
  <si>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</si>
  <si>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</si>
  <si>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</si>
  <si>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</si>
  <si>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</si>
  <si>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</si>
  <si>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</si>
  <si>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</si>
  <si>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</si>
  <si>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</si>
  <si>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</si>
  <si>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</si>
  <si>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</si>
  <si>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</si>
  <si>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</si>
  <si>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</si>
  <si>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</si>
  <si>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</si>
  <si>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</si>
  <si>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</si>
  <si>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</si>
  <si>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</si>
  <si>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</si>
  <si>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</si>
  <si>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</si>
  <si>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</si>
  <si>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</si>
  <si>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</si>
  <si>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</si>
  <si>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</si>
  <si>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</si>
  <si>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</si>
  <si>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</si>
  <si>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</si>
  <si>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</si>
  <si>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</si>
  <si>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</si>
  <si>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</si>
  <si>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</si>
  <si>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</si>
  <si>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</si>
  <si>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</si>
  <si>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</si>
  <si>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</si>
  <si>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</si>
  <si>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</si>
  <si>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</si>
  <si>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</si>
  <si>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</si>
  <si>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</si>
  <si>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</si>
  <si>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</si>
  <si>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</si>
  <si>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</si>
  <si>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</si>
  <si>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</si>
  <si>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</si>
  <si>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</si>
  <si>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</si>
  <si>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</si>
  <si>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</si>
  <si>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</si>
  <si>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</si>
  <si>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</si>
  <si>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</si>
  <si>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</si>
  <si>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</si>
  <si>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</si>
  <si>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</si>
  <si>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</si>
  <si>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</si>
  <si>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</si>
  <si>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</si>
  <si>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</si>
  <si>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</si>
  <si>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</si>
  <si>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</si>
  <si>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</si>
  <si>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</si>
  <si>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</si>
  <si>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</si>
  <si>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</si>
  <si>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</si>
  <si>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</si>
  <si>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</si>
  <si>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</si>
  <si>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</si>
  <si>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</si>
  <si>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</si>
  <si>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</si>
  <si>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</si>
  <si>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</si>
  <si>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</si>
  <si>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</si>
  <si>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</si>
  <si>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</si>
  <si>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</si>
  <si>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</si>
  <si>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</si>
  <si>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</si>
  <si>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</si>
  <si>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</si>
  <si>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</si>
  <si>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</si>
  <si>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</si>
  <si>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</si>
  <si>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</si>
  <si>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</si>
  <si>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</si>
  <si>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</si>
  <si>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</si>
  <si>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</si>
  <si>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</si>
  <si>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</si>
  <si>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</si>
  <si>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</si>
  <si>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</si>
  <si>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</si>
  <si>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</si>
  <si>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</si>
  <si>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</si>
  <si>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</si>
  <si>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</si>
  <si>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</si>
  <si>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</si>
  <si>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</si>
  <si>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</si>
  <si>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</si>
  <si>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</si>
  <si>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</si>
  <si>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</si>
  <si>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</si>
  <si>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</si>
  <si>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</si>
  <si>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</si>
  <si>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</si>
  <si>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</si>
  <si>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</si>
  <si>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</si>
  <si>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</si>
  <si>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</si>
  <si>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</si>
  <si>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</si>
  <si>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</si>
  <si>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</si>
  <si>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</si>
  <si>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</si>
  <si>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</si>
  <si>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</si>
  <si>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</si>
  <si>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</si>
  <si>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</si>
  <si>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</si>
  <si>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</si>
  <si>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</si>
  <si>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</si>
  <si>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</si>
  <si>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</si>
  <si>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</si>
  <si>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</si>
  <si>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</si>
  <si>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</si>
  <si>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</si>
  <si>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</si>
  <si>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</si>
  <si>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</si>
  <si>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</si>
  <si>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</si>
  <si>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</si>
  <si>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</si>
  <si>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</si>
  <si>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</si>
  <si>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</si>
  <si>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</si>
  <si>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</si>
  <si>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</si>
  <si>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</si>
  <si>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</si>
  <si>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</si>
  <si>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</si>
  <si>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</si>
  <si>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</si>
  <si>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</si>
  <si>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</si>
  <si>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</si>
  <si>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</si>
  <si>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</si>
  <si>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</si>
  <si>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</si>
  <si>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</si>
  <si>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</si>
  <si>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</si>
  <si>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</si>
  <si>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</si>
  <si>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</si>
  <si>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</si>
  <si>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</si>
  <si>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</si>
  <si>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</si>
  <si>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</si>
  <si>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</si>
  <si>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</si>
  <si>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</si>
  <si>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</si>
  <si>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</si>
  <si>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</si>
  <si>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</si>
  <si>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</si>
  <si>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</si>
  <si>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</si>
  <si>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</si>
  <si>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</si>
  <si>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</si>
  <si>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</si>
  <si>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</si>
  <si>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</si>
  <si>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</si>
  <si>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</si>
  <si>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</si>
  <si>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</si>
  <si>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</si>
  <si>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</si>
  <si>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</si>
  <si>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</si>
  <si>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</si>
  <si>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</si>
  <si>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</si>
  <si>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</si>
  <si>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</si>
  <si>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</si>
  <si>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</si>
  <si>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</si>
  <si>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</si>
  <si>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</si>
  <si>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</si>
  <si>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</si>
  <si>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</si>
  <si>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</si>
  <si>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</si>
  <si>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</si>
  <si>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</si>
  <si>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</si>
  <si>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</si>
  <si>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</si>
  <si>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</si>
  <si>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</si>
  <si>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</si>
  <si>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</si>
  <si>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</si>
  <si>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</si>
  <si>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</si>
  <si>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</si>
  <si>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</si>
  <si>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</si>
  <si>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</si>
  <si>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</si>
  <si>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</si>
  <si>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</si>
  <si>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</si>
  <si>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</si>
  <si>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</si>
  <si>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</si>
  <si>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</si>
  <si>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</si>
  <si>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</si>
  <si>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</si>
  <si>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</si>
  <si>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</si>
  <si>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</si>
  <si>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</si>
  <si>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</si>
  <si>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</si>
  <si>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</si>
  <si>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</si>
  <si>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</si>
  <si>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</si>
  <si>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</si>
  <si>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</si>
  <si>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</si>
  <si>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</si>
  <si>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</si>
  <si>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</si>
  <si>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</si>
  <si>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</si>
  <si>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</si>
  <si>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</si>
  <si>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</si>
  <si>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</si>
  <si>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</si>
  <si>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</si>
  <si>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</si>
  <si>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</si>
  <si>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</si>
  <si>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</si>
  <si>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</si>
  <si>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</si>
  <si>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</si>
  <si>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</si>
  <si>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</si>
  <si>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</si>
  <si>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</si>
  <si>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</si>
  <si>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</si>
  <si>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</si>
  <si>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</si>
  <si>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</si>
  <si>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</si>
  <si>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</si>
  <si>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</si>
  <si>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</si>
  <si>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</si>
  <si>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</si>
  <si>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</si>
  <si>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</si>
  <si>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</si>
  <si>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</si>
  <si>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</si>
  <si>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</si>
  <si>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</si>
  <si>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</si>
  <si>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</si>
  <si>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</si>
  <si>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</si>
  <si>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</si>
  <si>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</si>
  <si>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</si>
  <si>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</si>
  <si>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</si>
  <si>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</si>
  <si>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</si>
  <si>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</si>
  <si>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</si>
  <si>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</si>
  <si>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</si>
  <si>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</si>
  <si>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</si>
  <si>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</si>
  <si>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</si>
  <si>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</si>
  <si>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</si>
  <si>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</si>
  <si>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</si>
  <si>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</si>
  <si>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</si>
  <si>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</si>
  <si>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</si>
  <si>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</si>
  <si>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</si>
  <si>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</si>
  <si>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</si>
  <si>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</si>
  <si>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</si>
  <si>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</si>
  <si>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</si>
  <si>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</si>
  <si>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</si>
  <si>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</si>
  <si>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</si>
  <si>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</si>
  <si>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</si>
  <si>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</si>
  <si>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</si>
  <si>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</si>
  <si>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</si>
  <si>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</si>
  <si>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</si>
  <si>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</si>
  <si>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</si>
  <si>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</si>
  <si>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</si>
  <si>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</si>
  <si>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</si>
  <si>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</si>
  <si>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</si>
  <si>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</si>
  <si>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</si>
  <si>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</si>
  <si>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</si>
  <si>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</si>
  <si>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</si>
  <si>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</si>
  <si>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</si>
  <si>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</si>
  <si>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</si>
  <si>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</si>
  <si>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</si>
  <si>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</si>
  <si>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</si>
  <si>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</si>
  <si>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</si>
  <si>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</si>
  <si>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</si>
  <si>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</si>
  <si>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</si>
  <si>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</si>
  <si>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</si>
  <si>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</si>
  <si>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</si>
  <si>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</si>
  <si>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</si>
  <si>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</si>
  <si>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</si>
  <si>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</si>
  <si>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</si>
  <si>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</si>
  <si>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</si>
  <si>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</si>
  <si>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</si>
  <si>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</si>
  <si>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</si>
  <si>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</si>
  <si>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</si>
  <si>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</si>
  <si>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</si>
  <si>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</si>
  <si>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</si>
  <si>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</si>
  <si>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</si>
  <si>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</si>
  <si>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</si>
  <si>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</si>
  <si>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</si>
  <si>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</si>
  <si>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</si>
  <si>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</si>
  <si>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</si>
  <si>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</si>
  <si>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</si>
  <si>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</si>
  <si>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</si>
  <si>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</si>
  <si>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</si>
  <si>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</si>
  <si>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</si>
  <si>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</si>
  <si>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</si>
  <si>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</si>
  <si>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</si>
  <si>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</si>
  <si>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</si>
  <si>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</si>
  <si>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</si>
  <si>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</si>
  <si>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</si>
  <si>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</si>
  <si>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</si>
  <si>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</si>
  <si>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</si>
  <si>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</si>
  <si>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</si>
  <si>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</si>
  <si>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</si>
  <si>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</si>
  <si>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</si>
  <si>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</si>
  <si>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</si>
  <si>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</si>
  <si>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</si>
  <si>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</si>
  <si>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</si>
  <si>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</si>
  <si>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</si>
  <si>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</si>
  <si>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</si>
  <si>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</si>
  <si>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</si>
  <si>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</si>
  <si>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</si>
  <si>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</si>
  <si>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</si>
  <si>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</si>
  <si>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</si>
  <si>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</si>
  <si>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</si>
  <si>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</si>
  <si>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</si>
  <si>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</si>
  <si>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</si>
  <si>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</si>
  <si>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</si>
  <si>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</si>
  <si>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</si>
  <si>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</si>
  <si>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</si>
  <si>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</si>
  <si>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</si>
  <si>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</si>
  <si>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</si>
  <si>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</si>
  <si>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</si>
  <si>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</si>
  <si>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</si>
  <si>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</si>
  <si>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</si>
  <si>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</si>
  <si>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</si>
  <si>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</si>
  <si>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</si>
  <si>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</si>
  <si>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</si>
  <si>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</si>
  <si>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</si>
  <si>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</si>
  <si>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</si>
  <si>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</si>
  <si>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</si>
  <si>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</si>
  <si>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</si>
  <si>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</si>
  <si>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</si>
  <si>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</si>
  <si>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</si>
  <si>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</si>
  <si>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</si>
  <si>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</si>
  <si>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</si>
  <si>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</si>
  <si>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</si>
  <si>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</si>
  <si>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</si>
  <si>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</si>
  <si>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</si>
  <si>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</si>
  <si>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</si>
  <si>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</si>
  <si>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</si>
  <si>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</si>
  <si>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</si>
  <si>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</si>
  <si>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</si>
  <si>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</si>
  <si>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</si>
  <si>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</si>
  <si>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</si>
  <si>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</si>
  <si>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</si>
  <si>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</si>
  <si>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</si>
  <si>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</si>
  <si>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</si>
  <si>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</si>
  <si>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</si>
  <si>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</si>
  <si>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</si>
  <si>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</si>
  <si>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</si>
  <si>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</si>
  <si>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</si>
  <si>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</si>
  <si>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</si>
  <si>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</si>
  <si>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</si>
  <si>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</si>
  <si>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</si>
  <si>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</si>
  <si>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</si>
  <si>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</si>
  <si>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</si>
  <si>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</si>
  <si>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</si>
  <si>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</si>
  <si>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</si>
  <si>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</si>
  <si>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</si>
  <si>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</si>
  <si>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</si>
  <si>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</si>
  <si>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</si>
  <si>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</si>
  <si>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</si>
  <si>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</si>
  <si>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</si>
  <si>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</si>
  <si>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</si>
  <si>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</si>
  <si>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</si>
  <si>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</si>
  <si>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</si>
  <si>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</si>
  <si>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</si>
  <si>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</si>
  <si>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</si>
  <si>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</si>
  <si>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</si>
  <si>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</si>
  <si>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</si>
  <si>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</si>
  <si>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</si>
  <si>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</si>
  <si>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</si>
  <si>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</si>
  <si>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</si>
  <si>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</si>
  <si>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</si>
  <si>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</si>
  <si>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</si>
  <si>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</si>
  <si>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</si>
  <si>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</si>
  <si>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</si>
  <si>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</si>
  <si>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</si>
  <si>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</si>
  <si>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</si>
  <si>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</si>
  <si>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</si>
  <si>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</si>
  <si>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</si>
  <si>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</si>
  <si>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</si>
  <si>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</si>
  <si>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</si>
  <si>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</si>
  <si>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</si>
  <si>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</si>
  <si>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</si>
  <si>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</si>
  <si>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</si>
  <si>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</si>
  <si>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</si>
  <si>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</si>
  <si>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</si>
  <si>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</si>
  <si>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</si>
  <si>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</si>
  <si>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</si>
  <si>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</si>
  <si>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</si>
  <si>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</si>
  <si>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</si>
  <si>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</si>
  <si>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</si>
  <si>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</si>
  <si>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</si>
  <si>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</si>
  <si>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</si>
  <si>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</si>
  <si>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</si>
  <si>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</si>
  <si>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</si>
  <si>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</si>
  <si>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</si>
  <si>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</si>
  <si>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</si>
  <si>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</si>
  <si>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</si>
  <si>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</si>
  <si>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</si>
  <si>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</si>
  <si>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</si>
  <si>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</si>
  <si>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</si>
  <si>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</si>
  <si>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</si>
  <si>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</si>
  <si>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</si>
  <si>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</si>
  <si>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</si>
  <si>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</si>
  <si>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</si>
  <si>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</si>
  <si>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</si>
  <si>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</si>
  <si>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</si>
  <si>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</si>
  <si>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</si>
  <si>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</si>
  <si>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</si>
  <si>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</si>
  <si>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</si>
  <si>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</si>
  <si>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</si>
  <si>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</si>
  <si>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</si>
  <si>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</si>
  <si>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</si>
  <si>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</si>
  <si>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</si>
  <si>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</si>
  <si>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</si>
  <si>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</si>
  <si>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</si>
  <si>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</si>
  <si>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</si>
  <si>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</si>
  <si>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</si>
  <si>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</si>
  <si>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</si>
  <si>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</si>
  <si>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</si>
  <si>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</si>
  <si>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</si>
  <si>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</si>
  <si>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</si>
  <si>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</si>
  <si>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</si>
  <si>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</si>
  <si>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</si>
  <si>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</si>
  <si>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</si>
  <si>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</si>
  <si>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</si>
  <si>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</si>
  <si>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</si>
  <si>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</si>
  <si>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</si>
  <si>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</si>
  <si>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</si>
  <si>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</si>
  <si>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</si>
  <si>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</si>
  <si>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</si>
  <si>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</si>
  <si>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</si>
  <si>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</si>
  <si>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</si>
  <si>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</si>
  <si>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</si>
  <si>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</si>
  <si>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</si>
  <si>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</si>
  <si>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</si>
  <si>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</si>
  <si>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</si>
  <si>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</si>
  <si>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</si>
  <si>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</si>
  <si>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</si>
  <si>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</si>
  <si>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</si>
  <si>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</si>
  <si>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</si>
  <si>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</si>
  <si>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</si>
  <si>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</si>
  <si>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</si>
  <si>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</si>
  <si>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</si>
  <si>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</si>
  <si>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</si>
  <si>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</si>
  <si>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</si>
  <si>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</si>
  <si>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</si>
  <si>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</si>
  <si>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</si>
  <si>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</si>
  <si>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</si>
  <si>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</si>
  <si>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</si>
  <si>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</si>
  <si>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</si>
  <si>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</si>
  <si>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</si>
  <si>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</si>
  <si>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</si>
  <si>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</si>
  <si>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</si>
  <si>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</si>
  <si>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</si>
  <si>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</si>
  <si>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</si>
  <si>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</si>
  <si>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</si>
  <si>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</si>
  <si>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</si>
  <si>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</si>
  <si>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</si>
  <si>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</si>
  <si>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</si>
  <si>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</si>
  <si>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</si>
  <si>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</si>
  <si>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</si>
  <si>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</si>
  <si>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</si>
  <si>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</si>
  <si>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</si>
  <si>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</si>
  <si>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</si>
  <si>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</si>
  <si>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</si>
  <si>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</si>
  <si>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</si>
  <si>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</si>
  <si>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</si>
  <si>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</si>
  <si>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</si>
  <si>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</si>
  <si>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</si>
  <si>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</si>
  <si>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</si>
  <si>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</si>
  <si>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</si>
  <si>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</si>
  <si>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</si>
  <si>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</si>
  <si>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</si>
  <si>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</si>
  <si>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</si>
  <si>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</si>
  <si>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</si>
  <si>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</si>
  <si>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</si>
  <si>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</si>
  <si>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</si>
  <si>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</si>
  <si>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</si>
  <si>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</si>
  <si>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</si>
  <si>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</si>
  <si>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</si>
  <si>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</si>
  <si>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</si>
  <si>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</si>
  <si>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</si>
  <si>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</si>
  <si>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</si>
  <si>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</si>
  <si>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</si>
  <si>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</si>
  <si>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</si>
  <si>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</si>
  <si>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</si>
  <si>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</si>
  <si>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</si>
  <si>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</si>
  <si>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</si>
  <si>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</si>
  <si>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</si>
  <si>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</si>
  <si>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</si>
  <si>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</si>
  <si>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</si>
  <si>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</si>
  <si>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</si>
  <si>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</si>
  <si>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</si>
  <si>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</si>
  <si>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</si>
  <si>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</si>
  <si>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</si>
  <si>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</si>
  <si>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</si>
  <si>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</si>
  <si>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</si>
  <si>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</si>
  <si>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</si>
  <si>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</si>
  <si>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</si>
  <si>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</si>
  <si>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</si>
  <si>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</si>
  <si>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</si>
  <si>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</si>
  <si>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</si>
  <si>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</si>
  <si>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</si>
  <si>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</si>
  <si>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</si>
  <si>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</si>
  <si>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</si>
  <si>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</si>
  <si>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</si>
  <si>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</si>
  <si>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</si>
  <si>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</si>
  <si>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</si>
  <si>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</si>
  <si>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</si>
  <si>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</si>
  <si>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</si>
  <si>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</si>
  <si>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</si>
  <si>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</si>
  <si>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</si>
  <si>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</si>
  <si>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</si>
  <si>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</si>
  <si>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</si>
  <si>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</si>
  <si>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</si>
  <si>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</si>
  <si>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</si>
  <si>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</si>
  <si>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</si>
  <si>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</si>
  <si>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</si>
  <si>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</si>
  <si>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</si>
  <si>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</si>
  <si>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</si>
  <si>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</si>
  <si>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</si>
  <si>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</si>
  <si>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</si>
  <si>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</si>
  <si>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</si>
  <si>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</si>
  <si>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</si>
  <si>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</si>
  <si>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</si>
  <si>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</si>
  <si>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</si>
  <si>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</si>
  <si>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</si>
  <si>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</si>
  <si>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</si>
  <si>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</si>
  <si>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</si>
  <si>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</si>
  <si>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</si>
  <si>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</si>
  <si>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</si>
  <si>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</si>
  <si>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</si>
  <si>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</si>
  <si>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</si>
  <si>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</si>
  <si>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</si>
  <si>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</si>
  <si>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</si>
  <si>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</si>
  <si>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</si>
  <si>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</si>
  <si>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</si>
  <si>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</si>
  <si>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</si>
  <si>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</si>
  <si>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</si>
  <si>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</si>
  <si>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</si>
  <si>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</si>
  <si>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</si>
  <si>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</si>
  <si>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</si>
  <si>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</si>
  <si>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</si>
  <si>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</si>
  <si>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</si>
  <si>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</si>
  <si>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</si>
  <si>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</si>
  <si>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</si>
  <si>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</si>
  <si>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</si>
  <si>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</si>
  <si>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</si>
  <si>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</si>
  <si>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</si>
  <si>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</si>
  <si>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</si>
  <si>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</si>
  <si>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</si>
  <si>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</si>
  <si>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</si>
  <si>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</si>
  <si>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</si>
  <si>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</si>
  <si>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</si>
  <si>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</si>
  <si>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</si>
  <si>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</si>
  <si>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</si>
  <si>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</si>
  <si>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</si>
  <si>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</si>
  <si>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</si>
  <si>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</si>
  <si>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</si>
  <si>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</si>
  <si>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</si>
  <si>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</si>
  <si>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</si>
  <si>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</si>
  <si>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</si>
  <si>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</si>
  <si>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</si>
  <si>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</si>
  <si>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</si>
  <si>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</si>
  <si>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</si>
  <si>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</si>
  <si>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</si>
  <si>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</si>
  <si>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</si>
  <si>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</si>
  <si>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</si>
  <si>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</si>
  <si>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</si>
  <si>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</si>
  <si>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</si>
  <si>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</si>
  <si>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</si>
  <si>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</si>
  <si>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</si>
  <si>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</si>
  <si>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</si>
  <si>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</si>
  <si>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</si>
  <si>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</si>
  <si>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</si>
  <si>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</si>
  <si>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</si>
  <si>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</si>
  <si>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</si>
  <si>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</si>
  <si>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</si>
  <si>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</si>
  <si>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</si>
  <si>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</si>
  <si>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</si>
  <si>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</si>
  <si>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</si>
  <si>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</si>
  <si>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</si>
  <si>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</si>
  <si>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</si>
  <si>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</si>
  <si>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</si>
  <si>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</si>
  <si>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</si>
  <si>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</si>
  <si>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</si>
  <si>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</si>
  <si>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</si>
  <si>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</si>
  <si>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</si>
  <si>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</si>
  <si>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</si>
  <si>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</si>
  <si>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</si>
  <si>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</si>
  <si>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</si>
  <si>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</si>
  <si>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</si>
  <si>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</si>
  <si>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</si>
  <si>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</si>
  <si>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</si>
  <si>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</si>
  <si>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</si>
  <si>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</si>
  <si>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</si>
  <si>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</si>
  <si>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</si>
  <si>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</si>
  <si>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</si>
  <si>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</si>
  <si>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</si>
  <si>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</si>
  <si>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</si>
  <si>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</si>
  <si>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</si>
  <si>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</si>
  <si>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</si>
  <si>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</si>
  <si>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</si>
  <si>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</si>
  <si>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</si>
  <si>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</si>
  <si>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</si>
  <si>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</si>
  <si>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</si>
  <si>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</si>
  <si>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</si>
  <si>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</si>
  <si>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</si>
  <si>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</si>
  <si>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</si>
  <si>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</si>
  <si>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</si>
  <si>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</si>
  <si>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</si>
  <si>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</si>
  <si>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</si>
  <si>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</si>
  <si>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</si>
  <si>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</si>
  <si>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</si>
  <si>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</si>
  <si>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</si>
  <si>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</si>
  <si>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</si>
  <si>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</si>
  <si>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</si>
  <si>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</si>
  <si>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</si>
  <si>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</si>
  <si>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</si>
  <si>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</si>
  <si>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</si>
  <si>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</si>
  <si>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</si>
  <si>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</si>
  <si>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</si>
  <si>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</si>
  <si>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</si>
  <si>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</si>
  <si>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</si>
  <si>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</si>
  <si>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</si>
  <si>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</si>
  <si>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</si>
  <si>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</si>
  <si>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</si>
  <si>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</si>
  <si>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</si>
  <si>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</si>
  <si>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</si>
  <si>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</si>
  <si>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</si>
  <si>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</si>
  <si>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</si>
  <si>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</si>
  <si>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</si>
  <si>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</si>
  <si>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</si>
  <si>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</si>
  <si>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</si>
  <si>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</si>
  <si>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</si>
  <si>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</si>
  <si>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</si>
  <si>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</si>
  <si>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</si>
  <si>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</si>
  <si>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</si>
  <si>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</si>
  <si>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</si>
  <si>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</si>
  <si>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</si>
  <si>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</si>
  <si>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</si>
  <si>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</si>
  <si>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</si>
  <si>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</si>
  <si>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</si>
  <si>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</si>
  <si>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</si>
  <si>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</si>
  <si>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</si>
  <si>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</si>
  <si>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</si>
  <si>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</si>
  <si>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</si>
  <si>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</si>
  <si>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</si>
  <si>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</si>
  <si>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</si>
  <si>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</si>
  <si>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</si>
  <si>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</si>
  <si>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</si>
  <si>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</si>
  <si>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</si>
  <si>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</si>
  <si>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</si>
  <si>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</si>
  <si>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</si>
  <si>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</si>
  <si>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</si>
  <si>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</si>
  <si>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</si>
  <si>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</si>
  <si>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</si>
  <si>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</si>
  <si>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</si>
  <si>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</si>
  <si>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</si>
  <si>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</si>
  <si>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</si>
  <si>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</si>
  <si>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</si>
  <si>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</si>
  <si>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</si>
  <si>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</si>
  <si>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</si>
  <si>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</si>
  <si>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</si>
  <si>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</si>
  <si>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</si>
  <si>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</si>
  <si>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</si>
  <si>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</si>
  <si>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</si>
  <si>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</si>
  <si>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</si>
  <si>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</si>
  <si>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</si>
  <si>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</si>
  <si>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</si>
  <si>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</si>
  <si>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</si>
  <si>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</si>
  <si>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</si>
  <si>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</si>
  <si>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</si>
  <si>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</si>
  <si>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</si>
  <si>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</si>
  <si>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</si>
  <si>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</si>
  <si>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</si>
  <si>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</si>
  <si>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</si>
  <si>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</si>
  <si>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</si>
  <si>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</si>
  <si>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</si>
  <si>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</si>
  <si>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</si>
  <si>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</si>
  <si>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</si>
  <si>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</si>
  <si>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</si>
  <si>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</si>
  <si>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</si>
  <si>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</si>
  <si>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</si>
  <si>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</si>
  <si>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</si>
  <si>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</si>
  <si>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</si>
  <si>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</si>
  <si>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</si>
  <si>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</si>
  <si>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</si>
  <si>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</si>
  <si>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</si>
  <si>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</si>
  <si>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</si>
  <si>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</si>
  <si>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</si>
  <si>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</si>
  <si>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</si>
  <si>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</si>
  <si>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</si>
  <si>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</si>
  <si>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</si>
  <si>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</si>
  <si>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</si>
  <si>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</si>
  <si>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</si>
  <si>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</si>
  <si>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</si>
  <si>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</si>
  <si>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</si>
  <si>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</si>
  <si>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</si>
  <si>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</si>
  <si>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</si>
  <si>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</si>
  <si>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</si>
  <si>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</si>
  <si>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</si>
  <si>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</si>
  <si>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</si>
  <si>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</si>
  <si>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</si>
  <si>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</si>
  <si>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</si>
  <si>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</si>
  <si>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</si>
  <si>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</si>
  <si>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</si>
  <si>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</si>
  <si>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</si>
  <si>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</si>
  <si>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</si>
  <si>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</si>
  <si>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</si>
  <si>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</si>
  <si>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</si>
  <si>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</si>
  <si>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</si>
  <si>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</si>
  <si>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</si>
  <si>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</si>
  <si>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</si>
  <si>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</si>
  <si>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</si>
  <si>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</si>
  <si>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</si>
  <si>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</si>
  <si>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</si>
  <si>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</si>
  <si>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</si>
  <si>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</si>
  <si>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</si>
  <si>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</si>
  <si>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</si>
  <si>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</si>
  <si>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</si>
  <si>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</si>
  <si>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</si>
  <si>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</si>
  <si>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</si>
  <si>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</si>
  <si>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</si>
  <si>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</si>
  <si>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</si>
  <si>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</si>
  <si>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</si>
  <si>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</si>
  <si>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</si>
  <si>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</si>
  <si>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</si>
  <si>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</si>
  <si>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</si>
  <si>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</si>
  <si>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</si>
  <si>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</si>
  <si>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</si>
  <si>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</si>
  <si>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</si>
  <si>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</si>
  <si>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</si>
  <si>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</si>
  <si>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</si>
  <si>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</si>
  <si>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</si>
  <si>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</si>
  <si>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</si>
  <si>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</si>
  <si>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</si>
  <si>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</si>
  <si>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</si>
  <si>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</si>
  <si>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</si>
  <si>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</si>
  <si>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</si>
  <si>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</si>
  <si>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</si>
  <si>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</si>
  <si>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</si>
  <si>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</si>
  <si>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</si>
  <si>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</si>
  <si>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</si>
  <si>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</si>
  <si>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</si>
  <si>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</si>
  <si>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</si>
  <si>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</si>
  <si>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</si>
  <si>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</si>
  <si>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</si>
  <si>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</si>
  <si>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</si>
  <si>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</si>
  <si>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</si>
  <si>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</si>
  <si>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</si>
  <si>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</si>
  <si>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</si>
  <si>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</si>
  <si>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</si>
  <si>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</si>
  <si>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</si>
  <si>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</si>
  <si>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</si>
  <si>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</si>
  <si>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</si>
  <si>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</si>
  <si>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</si>
  <si>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</si>
  <si>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</si>
  <si>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</si>
  <si>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</si>
  <si>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</si>
  <si>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</si>
  <si>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</si>
  <si>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</si>
  <si>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</si>
  <si>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</si>
  <si>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</si>
  <si>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</si>
  <si>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</si>
  <si>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</si>
  <si>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</si>
  <si>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</si>
  <si>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</si>
  <si>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</si>
  <si>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</si>
  <si>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</si>
  <si>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</si>
  <si>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</si>
  <si>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</si>
  <si>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</si>
  <si>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</si>
  <si>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</si>
  <si>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</si>
  <si>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</si>
  <si>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</si>
  <si>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</si>
  <si>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</si>
  <si>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</si>
  <si>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</si>
  <si>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</si>
  <si>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</si>
  <si>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</si>
  <si>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</si>
  <si>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</si>
  <si>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</si>
  <si>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</si>
  <si>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</si>
  <si>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</si>
  <si>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</si>
  <si>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</si>
  <si>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</si>
  <si>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</si>
  <si>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</si>
  <si>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</si>
  <si>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</si>
  <si>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</si>
  <si>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</si>
  <si>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</si>
  <si>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</si>
  <si>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</si>
  <si>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</si>
  <si>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</si>
  <si>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</si>
  <si>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</si>
  <si>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</si>
  <si>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</si>
  <si>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</si>
  <si>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</si>
  <si>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</si>
  <si>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</si>
  <si>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</si>
  <si>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</si>
  <si>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</si>
  <si>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</si>
  <si>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</si>
  <si>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</si>
  <si>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</si>
  <si>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</si>
  <si>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</si>
  <si>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</si>
  <si>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</si>
  <si>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</si>
  <si>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</si>
  <si>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</si>
  <si>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</si>
  <si>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</si>
  <si>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</si>
  <si>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</si>
  <si>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</si>
  <si>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</si>
  <si>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</si>
  <si>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</si>
  <si>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</si>
  <si>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</si>
  <si>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</si>
  <si>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</si>
  <si>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</si>
  <si>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</si>
  <si>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</si>
  <si>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</si>
  <si>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</si>
  <si>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</si>
  <si>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</si>
  <si>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</si>
  <si>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</si>
  <si>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</si>
  <si>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</si>
  <si>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</si>
  <si>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</si>
  <si>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</si>
  <si>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</si>
  <si>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</si>
  <si>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</si>
  <si>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</si>
  <si>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</si>
  <si>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</si>
  <si>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</si>
  <si>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</si>
  <si>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</si>
  <si>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</si>
  <si>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</si>
  <si>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</si>
  <si>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</si>
  <si>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</si>
  <si>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</si>
  <si>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</si>
  <si>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</si>
  <si>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</si>
  <si>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</si>
  <si>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</si>
  <si>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</si>
  <si>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</si>
  <si>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</si>
  <si>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</si>
  <si>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</si>
  <si>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</si>
  <si>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</si>
  <si>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</si>
  <si>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</si>
  <si>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</si>
  <si>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</si>
  <si>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</si>
  <si>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</si>
  <si>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</si>
  <si>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</si>
  <si>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</si>
  <si>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</si>
  <si>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</si>
  <si>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</si>
  <si>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</si>
  <si>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</si>
  <si>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</si>
  <si>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</si>
  <si>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</si>
  <si>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</si>
  <si>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</si>
  <si>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</si>
  <si>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</si>
  <si>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</si>
  <si>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</si>
  <si>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</si>
  <si>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</si>
  <si>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</si>
  <si>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</si>
  <si>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</si>
  <si>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</si>
  <si>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</si>
  <si>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</si>
  <si>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</si>
  <si>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</si>
  <si>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</si>
  <si>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</si>
  <si>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</si>
  <si>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</si>
  <si>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</si>
  <si>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</si>
  <si>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</si>
  <si>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</si>
  <si>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</si>
  <si>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</si>
  <si>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</si>
  <si>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</si>
  <si>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</si>
  <si>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</si>
  <si>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</si>
  <si>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</si>
  <si>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</si>
  <si>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</si>
  <si>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</si>
  <si>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</si>
  <si>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</si>
  <si>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</si>
  <si>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</si>
  <si>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</si>
  <si>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</si>
  <si>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</si>
  <si>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</si>
  <si>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</si>
  <si>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</si>
  <si>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</si>
  <si>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</si>
  <si>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</si>
  <si>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</si>
  <si>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</si>
  <si>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</si>
  <si>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</si>
  <si>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</si>
  <si>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</si>
  <si>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</si>
  <si>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</si>
  <si>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</si>
  <si>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</si>
  <si>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</si>
  <si>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</si>
  <si>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</si>
  <si>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</si>
  <si>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</si>
  <si>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</si>
  <si>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</si>
  <si>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</si>
  <si>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</si>
  <si>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</si>
  <si>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</si>
  <si>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</si>
  <si>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</si>
  <si>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</si>
  <si>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</si>
  <si>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</si>
  <si>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</si>
  <si>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</si>
  <si>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</si>
  <si>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</si>
  <si>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</si>
  <si>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</si>
  <si>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</si>
  <si>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</si>
  <si>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</si>
  <si>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</si>
  <si>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</si>
  <si>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</si>
  <si>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</si>
  <si>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</si>
  <si>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</si>
  <si>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</si>
  <si>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</si>
  <si>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</si>
  <si>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</si>
  <si>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</si>
  <si>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</si>
  <si>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</si>
  <si>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</si>
  <si>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</si>
  <si>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</si>
  <si>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</si>
  <si>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</si>
  <si>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</si>
  <si>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</si>
  <si>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</si>
  <si>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</si>
  <si>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</si>
  <si>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</si>
  <si>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</si>
  <si>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</si>
  <si>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</si>
  <si>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</si>
  <si>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</si>
  <si>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</si>
  <si>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</si>
  <si>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</si>
  <si>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</si>
  <si>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</si>
  <si>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</si>
  <si>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</si>
  <si>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</si>
  <si>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</si>
  <si>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</si>
  <si>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</si>
  <si>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</si>
  <si>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</si>
  <si>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</si>
  <si>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</si>
  <si>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</si>
  <si>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</si>
  <si>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</si>
  <si>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</si>
  <si>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</si>
  <si>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</si>
  <si>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</si>
  <si>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</si>
  <si>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</si>
  <si>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</si>
  <si>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</si>
  <si>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</si>
  <si>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</si>
  <si>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</si>
  <si>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</si>
  <si>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</si>
  <si>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</si>
  <si>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</si>
  <si>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</si>
  <si>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</si>
  <si>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</si>
  <si>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</si>
  <si>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</si>
  <si>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</si>
  <si>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</si>
  <si>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</si>
  <si>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</si>
  <si>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</si>
  <si>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</si>
  <si>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</si>
  <si>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</si>
  <si>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</si>
  <si>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</si>
  <si>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</si>
  <si>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</si>
  <si>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</si>
  <si>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</si>
  <si>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</si>
  <si>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</si>
  <si>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</si>
  <si>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</si>
  <si>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</si>
  <si>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</si>
  <si>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</si>
  <si>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</si>
  <si>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</si>
  <si>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</si>
  <si>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</si>
  <si>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</si>
  <si>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</si>
  <si>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</si>
  <si>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</si>
  <si>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</si>
  <si>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</si>
  <si>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</si>
  <si>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</si>
  <si>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</si>
  <si>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</si>
  <si>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</si>
  <si>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</si>
  <si>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</si>
  <si>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</si>
  <si>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</si>
  <si>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</si>
  <si>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</si>
  <si>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</si>
  <si>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</si>
  <si>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</si>
  <si>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</si>
  <si>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</si>
  <si>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</si>
  <si>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</si>
  <si>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</si>
  <si>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</si>
  <si>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</si>
  <si>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</si>
  <si>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</si>
  <si>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</si>
  <si>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</si>
  <si>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</si>
  <si>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</si>
  <si>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</si>
  <si>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</si>
  <si>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</si>
  <si>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</si>
  <si>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</si>
  <si>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</si>
  <si>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</si>
  <si>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</si>
  <si>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</si>
  <si>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</si>
  <si>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</si>
  <si>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</si>
  <si>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</si>
  <si>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</si>
  <si>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</si>
  <si>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</si>
  <si>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</si>
  <si>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</si>
  <si>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</si>
  <si>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</si>
  <si>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</si>
  <si>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</si>
  <si>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</si>
  <si>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</si>
  <si>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</si>
  <si>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</si>
  <si>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</si>
  <si>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</si>
  <si>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</si>
  <si>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</si>
  <si>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</si>
  <si>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</si>
  <si>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</si>
  <si>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</si>
  <si>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</si>
  <si>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</si>
  <si>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</si>
  <si>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</si>
  <si>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</si>
  <si>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</si>
  <si>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</si>
  <si>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</si>
  <si>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</si>
  <si>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</si>
  <si>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</si>
  <si>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</si>
  <si>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</si>
  <si>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</si>
  <si>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</si>
  <si>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</si>
  <si>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</si>
  <si>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</si>
  <si>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</si>
  <si>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</si>
  <si>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</si>
  <si>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</si>
  <si>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</si>
  <si>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</si>
  <si>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</si>
  <si>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</si>
  <si>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</si>
  <si>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</si>
  <si>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</si>
  <si>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</si>
  <si>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</si>
  <si>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</si>
  <si>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</si>
  <si>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</si>
  <si>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</si>
  <si>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</si>
  <si>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</si>
  <si>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</si>
  <si>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</si>
  <si>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</si>
  <si>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</si>
  <si>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</si>
  <si>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</si>
  <si>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</si>
  <si>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</si>
  <si>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</si>
  <si>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</si>
  <si>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</si>
  <si>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</si>
  <si>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</si>
  <si>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</si>
  <si>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</si>
  <si>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</si>
  <si>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</si>
  <si>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</si>
  <si>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</si>
  <si>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</si>
  <si>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</si>
  <si>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</si>
  <si>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</si>
  <si>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</si>
  <si>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</si>
  <si>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</si>
  <si>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</si>
  <si>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</si>
  <si>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</si>
  <si>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</si>
  <si>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</si>
  <si>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</si>
  <si>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</si>
  <si>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</si>
  <si>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</si>
  <si>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</si>
  <si>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</si>
  <si>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</si>
  <si>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</si>
  <si>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</si>
  <si>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</si>
  <si>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</si>
  <si>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</si>
  <si>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</si>
  <si>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</si>
  <si>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</si>
  <si>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</si>
  <si>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</si>
  <si>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</si>
  <si>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</si>
  <si>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</si>
  <si>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</si>
  <si>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</si>
  <si>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</si>
  <si>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</si>
  <si>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</si>
  <si>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</si>
  <si>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</si>
  <si>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</si>
  <si>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</si>
  <si>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</si>
  <si>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</si>
  <si>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</si>
  <si>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</si>
  <si>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</si>
  <si>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</si>
  <si>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</si>
  <si>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</si>
  <si>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</si>
  <si>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</si>
  <si>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</si>
  <si>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</si>
  <si>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</si>
  <si>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</si>
  <si>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</si>
  <si>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</si>
  <si>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</si>
  <si>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</si>
  <si>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</si>
  <si>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</si>
  <si>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</si>
  <si>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</si>
  <si>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</si>
  <si>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</si>
  <si>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</si>
  <si>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</si>
  <si>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</si>
  <si>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</si>
  <si>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</si>
  <si>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</si>
  <si>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</si>
  <si>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</si>
  <si>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</si>
  <si>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</si>
  <si>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</si>
  <si>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</si>
  <si>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</si>
  <si>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</si>
  <si>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</si>
  <si>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</si>
  <si>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</si>
  <si>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</si>
  <si>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</si>
  <si>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</si>
  <si>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</si>
  <si>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</si>
  <si>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</si>
  <si>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</si>
  <si>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</si>
  <si>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</si>
  <si>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</si>
  <si>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</si>
  <si>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</si>
  <si>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</si>
  <si>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</si>
  <si>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</si>
  <si>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</si>
  <si>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</si>
  <si>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</si>
  <si>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</si>
  <si>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</si>
  <si>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</si>
  <si>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</si>
  <si>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</si>
  <si>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</si>
  <si>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</si>
  <si>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</si>
  <si>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</si>
  <si>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</si>
  <si>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</si>
  <si>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</si>
  <si>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</si>
  <si>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</si>
  <si>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</si>
  <si>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</si>
  <si>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</si>
  <si>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</si>
  <si>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</si>
  <si>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</si>
  <si>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</si>
  <si>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</si>
  <si>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</si>
  <si>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</si>
  <si>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</si>
  <si>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</si>
  <si>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</si>
  <si>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</si>
  <si>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</si>
  <si>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</si>
  <si>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</si>
  <si>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</si>
  <si>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</si>
  <si>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</si>
  <si>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</si>
  <si>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</si>
  <si>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</si>
  <si>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</si>
  <si>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</si>
  <si>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</si>
  <si>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</si>
  <si>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</si>
  <si>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</si>
  <si>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</si>
  <si>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</si>
  <si>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</si>
  <si>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</si>
  <si>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</si>
  <si>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</si>
  <si>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</si>
  <si>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</si>
  <si>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</si>
  <si>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</si>
  <si>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</si>
  <si>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</si>
  <si>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</si>
  <si>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</si>
  <si>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</si>
  <si>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</si>
  <si>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</si>
  <si>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</si>
  <si>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</si>
  <si>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</si>
  <si>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</si>
  <si>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</si>
  <si>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</si>
  <si>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</si>
  <si>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</si>
  <si>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</si>
  <si>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</si>
  <si>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</si>
  <si>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</si>
  <si>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</si>
  <si>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</si>
  <si>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</si>
  <si>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</si>
  <si>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</si>
  <si>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</si>
  <si>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</si>
  <si>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</si>
  <si>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</si>
  <si>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</si>
  <si>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</si>
  <si>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</si>
  <si>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</si>
  <si>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</si>
  <si>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</si>
  <si>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</si>
  <si>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</si>
  <si>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</si>
  <si>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</si>
  <si>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</si>
  <si>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</si>
  <si>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</si>
  <si>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</si>
  <si>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</si>
  <si>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</si>
  <si>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</si>
  <si>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</si>
  <si>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</si>
  <si>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</si>
  <si>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</si>
  <si>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</si>
  <si>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</si>
  <si>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</si>
  <si>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</si>
  <si>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</si>
  <si>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</si>
  <si>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</si>
  <si>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</si>
  <si>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</si>
  <si>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</si>
  <si>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</si>
  <si>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</si>
  <si>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</si>
  <si>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</si>
  <si>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</si>
  <si>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</si>
  <si>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</si>
  <si>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</si>
  <si>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</si>
  <si>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</si>
  <si>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</si>
  <si>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</si>
  <si>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</si>
  <si>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</si>
  <si>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</si>
  <si>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</si>
  <si>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</si>
  <si>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</si>
  <si>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</si>
  <si>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</si>
  <si>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</si>
  <si>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</si>
  <si>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</si>
  <si>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</si>
  <si>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</si>
  <si>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</si>
  <si>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</si>
  <si>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</si>
  <si>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</si>
  <si>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</si>
  <si>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</si>
  <si>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</si>
  <si>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</si>
  <si>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</si>
  <si>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</si>
  <si>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</si>
  <si>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</si>
  <si>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</si>
  <si>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</si>
  <si>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</si>
  <si>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</si>
  <si>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</si>
  <si>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</si>
  <si>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</si>
  <si>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</si>
  <si>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</si>
  <si>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</si>
  <si>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</si>
  <si>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</si>
  <si>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</si>
  <si>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</si>
  <si>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</si>
  <si>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</si>
  <si>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</si>
  <si>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</si>
  <si>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</si>
  <si>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</si>
  <si>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</si>
  <si>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</si>
  <si>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</si>
  <si>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</si>
  <si>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</si>
  <si>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</si>
  <si>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</si>
  <si>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</si>
  <si>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</si>
  <si>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</si>
  <si>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</si>
  <si>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</si>
  <si>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</si>
  <si>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</si>
  <si>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</si>
  <si>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</si>
  <si>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</si>
  <si>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</si>
  <si>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</si>
  <si>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</si>
  <si>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</si>
  <si>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</si>
  <si>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</si>
  <si>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</si>
  <si>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</si>
  <si>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</si>
  <si>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</si>
  <si>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</si>
  <si>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</si>
  <si>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</si>
  <si>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</si>
  <si>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</si>
  <si>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</si>
  <si>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</si>
  <si>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</si>
  <si>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</si>
  <si>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</si>
  <si>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</si>
  <si>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</si>
  <si>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</si>
  <si>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</si>
  <si>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</si>
  <si>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</si>
  <si>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</si>
  <si>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</si>
  <si>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</si>
  <si>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</si>
  <si>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</si>
  <si>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</si>
  <si>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</si>
  <si>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</si>
  <si>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</si>
  <si>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</si>
  <si>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</si>
  <si>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</si>
  <si>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</si>
  <si>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</si>
  <si>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</si>
  <si>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</si>
  <si>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</si>
  <si>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</si>
  <si>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</si>
  <si>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</si>
  <si>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</si>
  <si>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</si>
  <si>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</si>
  <si>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</si>
  <si>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</si>
  <si>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</si>
  <si>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</si>
  <si>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</si>
  <si>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</si>
  <si>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</si>
  <si>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</si>
  <si>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</si>
  <si>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</si>
  <si>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</si>
  <si>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</si>
  <si>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</si>
  <si>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</si>
  <si>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</si>
  <si>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</si>
  <si>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</si>
  <si>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</si>
  <si>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</si>
  <si>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</si>
  <si>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</si>
  <si>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</si>
  <si>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</si>
  <si>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</si>
  <si>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</si>
  <si>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</si>
  <si>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</si>
  <si>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</si>
  <si>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</si>
  <si>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</si>
  <si>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</si>
  <si>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</si>
  <si>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</si>
  <si>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</si>
  <si>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</si>
  <si>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</si>
  <si>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</si>
  <si>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</si>
  <si>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</si>
  <si>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</si>
  <si>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</si>
  <si>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</si>
  <si>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</si>
  <si>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</si>
  <si>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</si>
  <si>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</si>
  <si>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</si>
  <si>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</si>
  <si>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</si>
  <si>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</si>
  <si>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</si>
  <si>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</si>
  <si>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</si>
  <si>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</si>
  <si>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</si>
  <si>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</si>
  <si>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</si>
  <si>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</si>
  <si>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</si>
  <si>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</si>
  <si>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</si>
  <si>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</si>
  <si>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</si>
  <si>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</si>
  <si>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</si>
  <si>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</si>
  <si>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</si>
  <si>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</si>
  <si>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</si>
  <si>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</si>
  <si>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</si>
  <si>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</si>
  <si>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</si>
  <si>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</si>
  <si>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</si>
  <si>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</si>
  <si>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</si>
  <si>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</si>
  <si>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</si>
  <si>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</si>
  <si>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</si>
  <si>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</si>
  <si>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</si>
  <si>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</si>
  <si>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</si>
  <si>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</si>
  <si>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</si>
  <si>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</si>
  <si>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</si>
  <si>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</si>
  <si>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</si>
  <si>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</si>
  <si>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</si>
  <si>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</si>
  <si>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</si>
  <si>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</si>
  <si>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</si>
  <si>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</si>
  <si>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</si>
  <si>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</si>
  <si>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</si>
  <si>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</si>
  <si>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</si>
  <si>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</si>
  <si>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</si>
  <si>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</si>
  <si>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</si>
  <si>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</si>
  <si>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</si>
  <si>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</si>
  <si>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</si>
  <si>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</si>
  <si>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</si>
  <si>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</si>
  <si>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</si>
  <si>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</si>
  <si>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</si>
  <si>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</si>
  <si>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</si>
  <si>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</si>
  <si>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</si>
  <si>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</si>
  <si>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</si>
  <si>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</si>
  <si>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</si>
  <si>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</si>
  <si>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</si>
  <si>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</si>
  <si>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</si>
  <si>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</si>
  <si>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</si>
  <si>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</si>
  <si>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</si>
  <si>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</si>
  <si>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</si>
  <si>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</si>
  <si>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</si>
  <si>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</si>
  <si>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</si>
  <si>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</si>
  <si>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</si>
  <si>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</si>
  <si>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</si>
  <si>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</si>
  <si>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</si>
  <si>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</si>
  <si>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</si>
  <si>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</si>
  <si>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</si>
  <si>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</si>
  <si>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</si>
  <si>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</si>
  <si>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</si>
  <si>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</si>
  <si>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</si>
  <si>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</si>
  <si>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</si>
  <si>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</si>
  <si>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</si>
  <si>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</si>
  <si>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</si>
  <si>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</si>
  <si>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</si>
  <si>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</si>
  <si>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</si>
  <si>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</si>
  <si>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</si>
  <si>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</si>
  <si>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</si>
  <si>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</si>
  <si>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</si>
  <si>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</si>
  <si>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</si>
  <si>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</si>
  <si>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</si>
  <si>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</si>
  <si>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</si>
  <si>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</si>
  <si>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</si>
  <si>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</si>
  <si>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</si>
  <si>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</si>
  <si>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</si>
  <si>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</si>
  <si>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</si>
  <si>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</si>
  <si>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</si>
  <si>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</si>
  <si>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</si>
  <si>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</si>
  <si>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</si>
  <si>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</si>
  <si>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</si>
  <si>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</si>
  <si>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</si>
  <si>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</si>
  <si>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</si>
  <si>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</si>
  <si>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</si>
  <si>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</si>
  <si>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</si>
  <si>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</si>
  <si>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</si>
  <si>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</si>
  <si>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</si>
  <si>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</si>
  <si>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</si>
  <si>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</si>
  <si>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</si>
  <si>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</si>
  <si>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</si>
  <si>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</si>
  <si>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</si>
  <si>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</si>
  <si>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</si>
  <si>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</si>
  <si>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</si>
  <si>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</si>
  <si>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</si>
  <si>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</si>
  <si>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</si>
  <si>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</si>
  <si>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</si>
  <si>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</si>
  <si>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</si>
  <si>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</si>
  <si>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</si>
  <si>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</si>
  <si>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</si>
  <si>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</si>
  <si>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</si>
  <si>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</si>
  <si>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</si>
  <si>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</si>
  <si>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</si>
  <si>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</si>
  <si>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</si>
  <si>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</si>
  <si>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</si>
  <si>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</si>
  <si>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</si>
  <si>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</si>
  <si>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</si>
  <si>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</si>
  <si>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</si>
  <si>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</si>
  <si>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</si>
  <si>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</si>
  <si>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</si>
  <si>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</si>
  <si>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</si>
  <si>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</si>
  <si>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</si>
  <si>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</si>
  <si>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</si>
  <si>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</si>
  <si>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</si>
  <si>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</si>
  <si>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</si>
  <si>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</si>
  <si>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</si>
  <si>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</si>
  <si>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</si>
  <si>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</si>
  <si>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</si>
  <si>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</si>
  <si>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</si>
  <si>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</si>
  <si>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</si>
  <si>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</si>
  <si>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</si>
  <si>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</si>
  <si>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</si>
  <si>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</si>
  <si>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</si>
  <si>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</si>
  <si>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</si>
  <si>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</si>
  <si>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</si>
  <si>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</si>
  <si>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</si>
  <si>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</si>
  <si>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</si>
  <si>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</si>
  <si>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</si>
  <si>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</si>
  <si>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</si>
  <si>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</si>
  <si>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</si>
  <si>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</si>
  <si>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</si>
  <si>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</si>
  <si>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</si>
  <si>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</si>
  <si>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</si>
  <si>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</si>
  <si>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</si>
  <si>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</si>
  <si>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</si>
  <si>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</si>
  <si>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</si>
  <si>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</si>
  <si>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</si>
  <si>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</si>
  <si>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</si>
  <si>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</si>
  <si>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</si>
  <si>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</si>
  <si>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</si>
  <si>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</si>
  <si>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</si>
  <si>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</si>
  <si>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</si>
  <si>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</si>
  <si>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</si>
  <si>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</si>
  <si>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</si>
  <si>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</si>
  <si>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</si>
  <si>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</si>
  <si>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</si>
  <si>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</si>
  <si>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</si>
  <si>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</si>
  <si>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</si>
  <si>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</si>
  <si>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</si>
  <si>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</si>
  <si>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</si>
  <si>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</si>
  <si>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</si>
  <si>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</si>
  <si>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</si>
  <si>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</si>
  <si>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</si>
  <si>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</si>
  <si>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</si>
  <si>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</si>
  <si>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</si>
  <si>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</si>
  <si>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</si>
  <si>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</si>
  <si>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</si>
  <si>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</si>
  <si>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</si>
  <si>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</si>
  <si>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</si>
  <si>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</si>
  <si>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</si>
  <si>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</si>
  <si>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</si>
  <si>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</si>
  <si>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</si>
  <si>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</si>
  <si>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</si>
  <si>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</si>
  <si>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</si>
  <si>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</si>
  <si>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</si>
  <si>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</si>
  <si>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</si>
  <si>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</si>
  <si>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</si>
  <si>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</si>
  <si>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</si>
  <si>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</si>
  <si>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</si>
  <si>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</si>
  <si>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</si>
  <si>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</si>
  <si>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</si>
  <si>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</si>
  <si>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</si>
  <si>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</si>
  <si>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</si>
  <si>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</si>
  <si>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</si>
  <si>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</si>
  <si>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</si>
  <si>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</si>
  <si>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</si>
  <si>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</si>
  <si>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</si>
  <si>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</si>
  <si>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</si>
  <si>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</si>
  <si>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</si>
  <si>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</si>
  <si>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</si>
  <si>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</si>
  <si>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</si>
  <si>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</si>
  <si>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</si>
  <si>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</si>
  <si>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</si>
  <si>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</si>
  <si>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</si>
  <si>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</si>
  <si>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</si>
  <si>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</si>
  <si>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</si>
  <si>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</si>
  <si>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</si>
  <si>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</si>
  <si>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</si>
  <si>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</si>
  <si>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</si>
  <si>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</si>
  <si>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</si>
  <si>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</si>
  <si>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</si>
  <si>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</si>
  <si>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</si>
  <si>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</si>
  <si>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</si>
  <si>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</si>
  <si>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</si>
  <si>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</si>
  <si>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</si>
  <si>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</si>
  <si>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</si>
  <si>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</si>
  <si>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</si>
  <si>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</si>
  <si>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</si>
  <si>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</si>
  <si>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</si>
  <si>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</si>
  <si>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</si>
  <si>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</si>
  <si>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</si>
  <si>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</si>
  <si>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</si>
  <si>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</si>
  <si>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</si>
  <si>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</si>
  <si>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</si>
  <si>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</si>
  <si>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</si>
  <si>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</si>
  <si>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</si>
  <si>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</si>
  <si>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</si>
  <si>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</si>
  <si>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</si>
  <si>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</si>
  <si>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</si>
  <si>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</si>
  <si>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</si>
  <si>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</si>
  <si>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</si>
  <si>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</si>
  <si>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</si>
  <si>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</si>
  <si>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</si>
  <si>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</si>
  <si>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</si>
  <si>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</si>
  <si>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</si>
  <si>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</si>
  <si>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</si>
  <si>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</si>
  <si>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</si>
  <si>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</si>
  <si>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</si>
  <si>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</si>
  <si>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</si>
  <si>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</si>
  <si>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</si>
  <si>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</si>
  <si>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</si>
  <si>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</si>
  <si>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</si>
  <si>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</si>
  <si>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</si>
  <si>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</si>
  <si>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</si>
  <si>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</si>
  <si>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</si>
  <si>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</si>
  <si>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</si>
  <si>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</si>
  <si>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</si>
  <si>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</si>
  <si>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</si>
  <si>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</si>
  <si>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</si>
  <si>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</si>
  <si>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</si>
  <si>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</si>
  <si>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</si>
  <si>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</si>
  <si>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</si>
  <si>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</si>
  <si>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</si>
  <si>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</si>
  <si>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</si>
  <si>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</si>
  <si>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</si>
  <si>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</si>
  <si>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</si>
  <si>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</si>
  <si>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</si>
  <si>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</si>
  <si>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</si>
  <si>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</si>
  <si>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</si>
  <si>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</si>
  <si>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</si>
  <si>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</si>
  <si>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</si>
  <si>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</si>
  <si>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</si>
  <si>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</si>
  <si>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</si>
  <si>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</si>
  <si>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</si>
  <si>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</si>
  <si>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</si>
  <si>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</si>
  <si>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</si>
  <si>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</si>
  <si>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</si>
  <si>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</si>
  <si>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</si>
  <si>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</si>
  <si>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</si>
  <si>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</si>
  <si>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</si>
  <si>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</si>
  <si>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</si>
  <si>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</si>
  <si>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</si>
  <si>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</si>
  <si>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</si>
  <si>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</si>
  <si>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</si>
  <si>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</si>
  <si>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</si>
  <si>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</si>
  <si>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</si>
  <si>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</si>
  <si>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</si>
  <si>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</si>
  <si>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</si>
  <si>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</si>
  <si>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</si>
  <si>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</si>
  <si>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</si>
  <si>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</si>
  <si>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</si>
  <si>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</si>
  <si>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</si>
  <si>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</si>
  <si>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</si>
  <si>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</si>
  <si>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</si>
  <si>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</si>
  <si>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</si>
  <si>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</si>
  <si>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</si>
  <si>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</si>
  <si>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</si>
  <si>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</si>
  <si>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</si>
  <si>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</si>
  <si>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</si>
  <si>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</si>
  <si>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</si>
  <si>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</si>
  <si>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</si>
  <si>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</si>
  <si>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</si>
  <si>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</si>
  <si>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</si>
  <si>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</si>
  <si>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</si>
  <si>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</si>
  <si>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</si>
  <si>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</si>
  <si>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</si>
  <si>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</si>
  <si>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</si>
  <si>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</si>
  <si>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</si>
  <si>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</si>
  <si>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</si>
  <si>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</si>
  <si>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</si>
  <si>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</si>
  <si>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</si>
  <si>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</si>
  <si>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</si>
  <si>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</si>
  <si>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</si>
  <si>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</si>
  <si>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</si>
  <si>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</si>
  <si>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</si>
  <si>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</si>
  <si>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</si>
  <si>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</si>
  <si>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</si>
  <si>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</si>
  <si>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</si>
  <si>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</si>
  <si>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</si>
  <si>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</si>
  <si>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</si>
  <si>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</si>
  <si>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</si>
  <si>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</si>
  <si>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</si>
  <si>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</si>
  <si>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</si>
  <si>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</si>
  <si>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</si>
  <si>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</si>
  <si>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</si>
  <si>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</si>
  <si>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</si>
  <si>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</si>
  <si>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</si>
  <si>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</si>
  <si>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</si>
  <si>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</si>
  <si>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</si>
  <si>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</si>
  <si>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</si>
  <si>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</si>
  <si>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</si>
  <si>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</si>
  <si>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</si>
  <si>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</si>
  <si>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</si>
  <si>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</si>
  <si>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</si>
  <si>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</si>
  <si>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</si>
  <si>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</si>
  <si>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</si>
  <si>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</si>
  <si>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</si>
  <si>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</si>
  <si>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</si>
  <si>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</si>
  <si>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</si>
  <si>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</si>
  <si>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</si>
  <si>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</si>
  <si>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</si>
  <si>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</si>
  <si>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</si>
  <si>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</si>
  <si>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</si>
  <si>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</si>
  <si>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</si>
  <si>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</si>
  <si>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</si>
  <si>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</si>
  <si>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</si>
  <si>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</si>
  <si>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</si>
  <si>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</si>
  <si>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</si>
  <si>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</si>
  <si>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</si>
  <si>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</si>
  <si>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</si>
  <si>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</si>
  <si>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</si>
  <si>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</si>
  <si>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</si>
  <si>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</si>
  <si>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</si>
  <si>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</si>
  <si>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</si>
  <si>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</si>
  <si>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</si>
  <si>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</si>
  <si>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</si>
  <si>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</si>
  <si>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</si>
  <si>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</si>
  <si>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</si>
  <si>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</si>
  <si>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</si>
  <si>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</si>
  <si>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</si>
  <si>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</si>
  <si>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</si>
  <si>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</si>
  <si>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</si>
  <si>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</si>
  <si>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</si>
  <si>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</si>
  <si>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</si>
  <si>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</si>
  <si>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</si>
  <si>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</si>
  <si>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</si>
  <si>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</si>
  <si>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</si>
  <si>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</si>
  <si>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</si>
  <si>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</si>
  <si>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</si>
  <si>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</si>
  <si>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</si>
  <si>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</si>
  <si>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</si>
  <si>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</si>
  <si>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</si>
  <si>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</si>
  <si>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</si>
  <si>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</si>
  <si>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</si>
  <si>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</si>
  <si>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</si>
  <si>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</si>
  <si>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</si>
  <si>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</si>
  <si>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</si>
  <si>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</si>
  <si>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</si>
  <si>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</si>
  <si>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</si>
  <si>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</si>
  <si>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</si>
  <si>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</si>
  <si>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</si>
  <si>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</si>
  <si>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</si>
  <si>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</si>
  <si>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</si>
  <si>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</si>
  <si>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</si>
  <si>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</si>
  <si>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</si>
  <si>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</si>
  <si>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</si>
  <si>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</si>
  <si>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</si>
  <si>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</si>
  <si>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</si>
  <si>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</si>
  <si>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</si>
  <si>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</si>
  <si>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</si>
  <si>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</si>
  <si>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</si>
  <si>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</si>
  <si>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</si>
  <si>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</si>
  <si>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</si>
  <si>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</si>
  <si>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</si>
  <si>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</si>
  <si>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</si>
  <si>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</si>
  <si>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</si>
  <si>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</si>
  <si>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</si>
  <si>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</si>
  <si>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</si>
  <si>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</si>
  <si>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</si>
  <si>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</si>
  <si>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</si>
  <si>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</si>
  <si>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</si>
  <si>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</si>
  <si>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</si>
  <si>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</si>
  <si>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</si>
  <si>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</si>
  <si>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</si>
  <si>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</si>
  <si>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</si>
  <si>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</si>
  <si>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</si>
  <si>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</si>
  <si>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</si>
  <si>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</si>
  <si>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</si>
  <si>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</si>
  <si>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</si>
  <si>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</si>
  <si>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</si>
  <si>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</si>
  <si>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</si>
  <si>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</si>
  <si>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</si>
  <si>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</si>
  <si>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</si>
  <si>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</si>
  <si>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</si>
  <si>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</si>
  <si>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</si>
  <si>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</si>
  <si>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</si>
  <si>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</si>
  <si>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</si>
  <si>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</si>
  <si>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</si>
  <si>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</si>
  <si>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</si>
  <si>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</si>
  <si>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</si>
  <si>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</si>
  <si>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</si>
  <si>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</si>
  <si>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</si>
  <si>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</si>
  <si>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</si>
  <si>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</si>
  <si>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</si>
  <si>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</si>
  <si>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</si>
  <si>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</si>
  <si>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</si>
  <si>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</si>
  <si>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</si>
  <si>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</si>
  <si>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</si>
  <si>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</si>
  <si>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</si>
  <si>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</si>
  <si>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</si>
  <si>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</si>
  <si>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</si>
  <si>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</si>
  <si>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</si>
  <si>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</si>
  <si>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</si>
  <si>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</si>
  <si>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</si>
  <si>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</si>
  <si>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</si>
  <si>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</si>
  <si>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</si>
  <si>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</si>
  <si>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</si>
  <si>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</si>
  <si>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</si>
  <si>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</si>
  <si>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</si>
  <si>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</si>
  <si>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</si>
  <si>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</si>
  <si>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</si>
  <si>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</si>
  <si>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</si>
  <si>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</si>
  <si>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</si>
  <si>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</si>
  <si>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</si>
  <si>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</si>
  <si>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</si>
  <si>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</si>
  <si>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</si>
  <si>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</si>
  <si>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</si>
  <si>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</si>
  <si>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</si>
  <si>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</si>
  <si>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</si>
  <si>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</si>
  <si>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</si>
  <si>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</si>
  <si>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</si>
  <si>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</si>
  <si>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</si>
  <si>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</si>
  <si>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</si>
  <si>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</si>
  <si>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</si>
  <si>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</si>
  <si>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</si>
  <si>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</si>
  <si>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</si>
  <si>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</si>
  <si>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</si>
  <si>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</si>
  <si>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</si>
  <si>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</si>
  <si>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</si>
  <si>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</si>
  <si>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</si>
  <si>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</si>
  <si>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</si>
  <si>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</si>
  <si>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</si>
  <si>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</si>
  <si>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</si>
  <si>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</si>
  <si>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</si>
  <si>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</si>
  <si>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</si>
  <si>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</si>
  <si>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</si>
  <si>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</si>
  <si>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</si>
  <si>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</si>
  <si>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</si>
  <si>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</si>
  <si>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</si>
  <si>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</si>
  <si>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</si>
  <si>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</si>
  <si>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</si>
  <si>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</si>
  <si>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</si>
  <si>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</si>
  <si>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</si>
  <si>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</si>
  <si>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</si>
  <si>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</si>
  <si>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</si>
  <si>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</si>
  <si>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</si>
  <si>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</si>
  <si>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</si>
  <si>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</si>
  <si>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</si>
  <si>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</si>
  <si>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</si>
  <si>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</si>
  <si>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</si>
  <si>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</si>
  <si>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</si>
  <si>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</si>
  <si>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</si>
  <si>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</si>
  <si>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</si>
  <si>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</si>
  <si>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</si>
  <si>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</si>
  <si>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</si>
  <si>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</si>
  <si>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</si>
  <si>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</si>
  <si>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</si>
  <si>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</si>
  <si>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</si>
  <si>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</si>
  <si>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</si>
  <si>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</si>
  <si>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</si>
  <si>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</si>
  <si>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</si>
  <si>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</si>
  <si>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</si>
  <si>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</si>
  <si>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</si>
  <si>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</si>
  <si>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</si>
  <si>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</si>
  <si>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</si>
  <si>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</si>
  <si>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</si>
  <si>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</si>
  <si>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</si>
  <si>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</si>
  <si>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</si>
  <si>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</si>
  <si>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</si>
  <si>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</si>
  <si>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</si>
  <si>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</si>
  <si>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</si>
  <si>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</si>
  <si>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</si>
  <si>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</si>
  <si>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</si>
  <si>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</si>
  <si>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</si>
  <si>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</si>
  <si>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</si>
  <si>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</si>
  <si>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</si>
  <si>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</si>
  <si>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</si>
  <si>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</si>
  <si>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</si>
  <si>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</si>
  <si>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</si>
  <si>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</si>
  <si>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</si>
  <si>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</si>
  <si>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</si>
  <si>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</si>
  <si>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</si>
  <si>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</si>
  <si>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</si>
  <si>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</si>
  <si>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</si>
  <si>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</si>
  <si>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</si>
  <si>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</si>
  <si>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</si>
  <si>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</si>
  <si>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</si>
  <si>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</si>
  <si>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</si>
  <si>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</si>
  <si>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</si>
  <si>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</si>
  <si>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</si>
  <si>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</si>
  <si>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</si>
  <si>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</si>
  <si>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</si>
  <si>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</si>
  <si>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</si>
  <si>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</si>
  <si>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</si>
  <si>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</si>
  <si>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</si>
  <si>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</si>
  <si>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</si>
  <si>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</si>
  <si>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</si>
  <si>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</si>
  <si>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</si>
  <si>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</si>
  <si>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</si>
  <si>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</si>
  <si>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</si>
  <si>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</si>
  <si>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</si>
  <si>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</si>
  <si>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</si>
  <si>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</si>
  <si>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</si>
  <si>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</si>
  <si>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</si>
  <si>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</si>
  <si>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</si>
  <si>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</si>
  <si>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</si>
  <si>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</si>
  <si>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</si>
  <si>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</si>
  <si>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</si>
  <si>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</si>
  <si>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</si>
  <si>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</si>
  <si>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</si>
  <si>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</si>
  <si>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</si>
  <si>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</si>
  <si>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</si>
  <si>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</si>
  <si>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</si>
  <si>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</si>
  <si>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</si>
  <si>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</si>
  <si>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</si>
  <si>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</si>
  <si>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</si>
  <si>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</si>
  <si>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</si>
  <si>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</si>
  <si>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</si>
  <si>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</si>
  <si>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</si>
  <si>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</si>
  <si>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</si>
  <si>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</si>
  <si>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</si>
  <si>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</si>
  <si>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</si>
  <si>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</si>
  <si>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</si>
  <si>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</si>
  <si>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</si>
  <si>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</si>
  <si>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</si>
  <si>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</si>
  <si>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</si>
  <si>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</si>
  <si>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</si>
  <si>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</si>
  <si>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</si>
  <si>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</si>
  <si>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</si>
  <si>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</si>
  <si>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</si>
  <si>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</si>
  <si>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</si>
  <si>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</si>
  <si>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</si>
  <si>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</si>
  <si>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</si>
  <si>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</si>
  <si>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</si>
  <si>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</si>
  <si>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</si>
  <si>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</si>
  <si>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</si>
  <si>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</si>
  <si>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</si>
  <si>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</si>
  <si>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</si>
  <si>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</si>
  <si>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</si>
  <si>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</si>
  <si>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</si>
  <si>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</si>
  <si>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</si>
  <si>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</si>
  <si>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</si>
  <si>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</si>
  <si>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</si>
  <si>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</si>
  <si>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</si>
  <si>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</si>
  <si>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</si>
  <si>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</si>
  <si>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</si>
  <si>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</si>
  <si>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</si>
  <si>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</si>
  <si>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</si>
  <si>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</si>
  <si>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</si>
  <si>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</si>
  <si>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</si>
  <si>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</si>
  <si>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</si>
  <si>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</si>
  <si>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</si>
  <si>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</si>
  <si>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</si>
  <si>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</si>
  <si>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</si>
  <si>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</si>
  <si>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</si>
  <si>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</si>
  <si>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</si>
  <si>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</si>
  <si>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</si>
  <si>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</si>
  <si>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</si>
  <si>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</si>
  <si>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</si>
  <si>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</si>
  <si>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</si>
  <si>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</si>
  <si>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</si>
  <si>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</si>
  <si>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</si>
  <si>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</si>
  <si>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</si>
  <si>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</si>
  <si>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</si>
  <si>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</si>
  <si>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</si>
  <si>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</si>
  <si>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</si>
  <si>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</si>
  <si>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</si>
  <si>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</si>
  <si>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</si>
  <si>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</si>
  <si>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</si>
  <si>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</si>
  <si>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</si>
  <si>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</si>
  <si>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</si>
  <si>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</si>
  <si>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</si>
  <si>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</si>
  <si>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</si>
  <si>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</si>
  <si>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</si>
  <si>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</si>
  <si>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</si>
  <si>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</si>
  <si>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</si>
  <si>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</si>
  <si>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</si>
  <si>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</si>
  <si>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</si>
  <si>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</si>
  <si>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</si>
  <si>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</si>
  <si>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</si>
  <si>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</si>
  <si>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</si>
  <si>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</si>
  <si>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</si>
  <si>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</si>
  <si>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</si>
  <si>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</si>
  <si>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</si>
  <si>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</si>
  <si>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</si>
  <si>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</si>
  <si>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</si>
  <si>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</si>
  <si>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</si>
  <si>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</si>
  <si>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</si>
  <si>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</si>
  <si>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</si>
  <si>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</si>
  <si>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</si>
  <si>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</si>
  <si>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</si>
  <si>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</si>
  <si>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</si>
  <si>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</si>
  <si>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</si>
  <si>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</si>
  <si>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</si>
  <si>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</si>
  <si>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</si>
  <si>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</si>
  <si>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</si>
  <si>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</si>
  <si>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</si>
  <si>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</si>
  <si>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</si>
  <si>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</si>
  <si>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</si>
  <si>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</si>
  <si>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</si>
  <si>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</si>
  <si>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</si>
  <si>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</si>
  <si>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</si>
  <si>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</si>
  <si>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</si>
  <si>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</si>
  <si>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</si>
  <si>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</si>
  <si>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</si>
  <si>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</si>
  <si>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</si>
  <si>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</si>
  <si>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</si>
  <si>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</si>
  <si>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</si>
  <si>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</si>
  <si>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</si>
  <si>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</si>
  <si>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</si>
  <si>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</si>
  <si>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</si>
  <si>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</si>
  <si>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</si>
  <si>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</si>
  <si>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</si>
  <si>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</si>
  <si>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</si>
  <si>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</si>
  <si>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</si>
  <si>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</si>
  <si>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</si>
  <si>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</si>
  <si>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</si>
  <si>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</si>
  <si>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</si>
  <si>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</si>
  <si>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</si>
  <si>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</si>
  <si>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</si>
  <si>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</si>
  <si>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</si>
  <si>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</si>
  <si>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</si>
  <si>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</si>
  <si>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</si>
  <si>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</si>
  <si>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</si>
  <si>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</si>
  <si>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</si>
  <si>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</si>
  <si>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</si>
  <si>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</si>
  <si>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</si>
  <si>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</si>
  <si>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</si>
  <si>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</si>
  <si>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</si>
  <si>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</si>
  <si>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</si>
  <si>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</si>
  <si>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</si>
  <si>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</si>
  <si>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</si>
  <si>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</si>
  <si>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</si>
  <si>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</si>
  <si>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</si>
  <si>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</si>
  <si>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</si>
  <si>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</si>
  <si>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</si>
  <si>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</si>
  <si>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</si>
  <si>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</si>
  <si>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</si>
  <si>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</si>
  <si>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</si>
  <si>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</si>
  <si>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</si>
  <si>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</si>
  <si>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</si>
  <si>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</si>
  <si>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</si>
  <si>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</si>
  <si>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</si>
  <si>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</si>
  <si>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</si>
  <si>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</si>
  <si>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</si>
  <si>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</si>
  <si>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</si>
  <si>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</si>
  <si>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</si>
  <si>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</si>
  <si>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</si>
  <si>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</si>
  <si>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</si>
  <si>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</si>
  <si>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</si>
  <si>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</si>
  <si>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</si>
  <si>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</si>
  <si>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</si>
  <si>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</si>
  <si>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</si>
  <si>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</si>
  <si>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</si>
  <si>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</si>
  <si>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</si>
  <si>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</si>
  <si>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</si>
  <si>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</si>
  <si>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</si>
  <si>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</si>
  <si>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</si>
  <si>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</si>
  <si>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</si>
  <si>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</si>
  <si>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</si>
  <si>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</si>
  <si>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</si>
  <si>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</si>
  <si>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</si>
  <si>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</si>
  <si>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</si>
  <si>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</si>
  <si>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</si>
  <si>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</si>
  <si>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</si>
  <si>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</si>
  <si>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</si>
  <si>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</si>
  <si>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</si>
  <si>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</si>
  <si>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</si>
  <si>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</si>
  <si>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</si>
  <si>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</si>
  <si>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</si>
  <si>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</si>
  <si>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</si>
  <si>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</si>
  <si>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</si>
  <si>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</si>
  <si>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</si>
  <si>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</si>
  <si>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</si>
  <si>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</si>
  <si>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</si>
  <si>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</si>
  <si>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</si>
  <si>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</si>
  <si>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</si>
  <si>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</si>
  <si>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</si>
  <si>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</si>
  <si>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</si>
  <si>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</si>
  <si>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</si>
  <si>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</si>
  <si>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</si>
  <si>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</si>
  <si>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</si>
  <si>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</si>
  <si>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</si>
  <si>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</si>
  <si>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</si>
  <si>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</si>
  <si>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</si>
  <si>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</si>
  <si>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</si>
  <si>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</si>
  <si>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</si>
  <si>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</si>
  <si>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</si>
  <si>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</si>
  <si>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</si>
  <si>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</si>
  <si>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</si>
  <si>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</si>
  <si>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</si>
  <si>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</si>
  <si>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</si>
  <si>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</si>
  <si>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</si>
  <si>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</si>
  <si>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</si>
  <si>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</si>
  <si>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</si>
  <si>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</si>
  <si>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</si>
  <si>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</si>
  <si>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</si>
  <si>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</si>
  <si>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</si>
  <si>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</si>
  <si>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</si>
  <si>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</si>
  <si>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</si>
  <si>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</si>
  <si>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</si>
  <si>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</si>
  <si>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</si>
  <si>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</si>
  <si>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</si>
  <si>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</si>
  <si>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</si>
  <si>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</si>
  <si>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</si>
  <si>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</si>
  <si>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</si>
  <si>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</si>
  <si>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</si>
  <si>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</si>
  <si>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</si>
  <si>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</si>
  <si>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</si>
  <si>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</si>
  <si>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</si>
  <si>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</si>
  <si>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</si>
  <si>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</si>
  <si>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</si>
  <si>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</si>
  <si>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</si>
  <si>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</si>
  <si>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</si>
  <si>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</si>
  <si>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</si>
  <si>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</si>
  <si>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</si>
  <si>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</si>
  <si>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</si>
  <si>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</si>
  <si>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</si>
  <si>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</si>
  <si>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</si>
  <si>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</si>
  <si>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</si>
  <si>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</si>
  <si>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</si>
  <si>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</si>
  <si>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</si>
  <si>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</si>
  <si>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</si>
  <si>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</si>
  <si>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</si>
  <si>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</si>
  <si>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</si>
  <si>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</si>
  <si>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</si>
  <si>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</si>
  <si>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</si>
  <si>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</si>
  <si>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</si>
  <si>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</si>
  <si>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</si>
  <si>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</si>
  <si>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</si>
  <si>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</si>
  <si>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</si>
  <si>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</si>
  <si>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</si>
  <si>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</si>
  <si>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</si>
  <si>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</si>
  <si>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</si>
  <si>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</si>
  <si>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</si>
  <si>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</si>
  <si>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</si>
  <si>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</si>
  <si>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</si>
  <si>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</si>
  <si>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</si>
  <si>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</si>
  <si>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</si>
  <si>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</si>
  <si>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</si>
  <si>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</si>
  <si>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</si>
  <si>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</si>
  <si>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</si>
  <si>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</si>
  <si>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</si>
  <si>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</si>
  <si>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</si>
  <si>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</si>
  <si>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</si>
  <si>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</si>
  <si>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</si>
  <si>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</si>
  <si>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</si>
  <si>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</si>
  <si>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</si>
  <si>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</si>
  <si>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</si>
  <si>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</si>
  <si>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</si>
  <si>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</si>
  <si>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</si>
  <si>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</si>
  <si>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</si>
  <si>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</si>
  <si>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</si>
  <si>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</si>
  <si>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</si>
  <si>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</si>
  <si>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</si>
  <si>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</si>
  <si>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</si>
  <si>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</si>
  <si>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</si>
  <si>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</si>
  <si>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</si>
  <si>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</si>
  <si>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</si>
  <si>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</si>
  <si>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</si>
  <si>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</si>
  <si>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</si>
  <si>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</si>
  <si>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</si>
  <si>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</si>
  <si>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</si>
  <si>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</si>
  <si>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</si>
  <si>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</si>
  <si>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</si>
  <si>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</si>
  <si>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</si>
  <si>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</si>
  <si>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</si>
  <si>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</si>
  <si>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</si>
  <si>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</si>
  <si>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</si>
  <si>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</si>
  <si>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</si>
  <si>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</si>
  <si>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</si>
  <si>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</si>
  <si>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</si>
  <si>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</si>
  <si>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</si>
  <si>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</si>
  <si>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</si>
  <si>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</si>
  <si>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</si>
  <si>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</si>
  <si>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</si>
  <si>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</si>
  <si>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</si>
  <si>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</si>
  <si>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</si>
  <si>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</si>
  <si>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</si>
  <si>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</si>
  <si>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</si>
  <si>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</si>
  <si>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</si>
  <si>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</si>
  <si>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</si>
  <si>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</si>
  <si>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</si>
  <si>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</si>
  <si>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</si>
  <si>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</si>
  <si>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</si>
  <si>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</si>
  <si>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</si>
  <si>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</si>
  <si>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</si>
  <si>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</si>
  <si>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</si>
  <si>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</si>
  <si>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</si>
  <si>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</si>
  <si>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</si>
  <si>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</si>
  <si>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</si>
  <si>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</si>
  <si>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</si>
  <si>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</si>
  <si>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</si>
  <si>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</si>
  <si>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</si>
  <si>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</si>
  <si>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</si>
  <si>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</si>
  <si>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</si>
  <si>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</si>
  <si>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</si>
  <si>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</si>
  <si>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</si>
  <si>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</si>
  <si>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</si>
  <si>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</si>
  <si>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</si>
  <si>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</si>
  <si>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</si>
  <si>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</si>
  <si>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</si>
  <si>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</si>
  <si>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</si>
  <si>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</si>
  <si>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</si>
  <si>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</si>
  <si>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</si>
  <si>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</si>
  <si>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</si>
  <si>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</si>
  <si>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</si>
  <si>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</si>
  <si>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</si>
  <si>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</si>
  <si>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</si>
  <si>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</si>
  <si>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</si>
  <si>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</si>
  <si>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</si>
  <si>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</si>
  <si>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</si>
  <si>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</si>
  <si>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</si>
  <si>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</si>
  <si>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</si>
  <si>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</si>
  <si>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</si>
  <si>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</si>
  <si>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</si>
  <si>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</si>
  <si>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</si>
  <si>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</si>
  <si>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</si>
  <si>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</si>
  <si>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</si>
  <si>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</si>
  <si>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</si>
  <si>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</si>
  <si>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</si>
  <si>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</si>
  <si>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</si>
  <si>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</si>
  <si>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</si>
  <si>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</si>
  <si>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</si>
  <si>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</si>
  <si>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</si>
  <si>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</si>
  <si>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</si>
  <si>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</si>
  <si>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</si>
  <si>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</si>
  <si>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</si>
  <si>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</si>
  <si>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</si>
  <si>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</si>
  <si>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</si>
  <si>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</si>
  <si>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</si>
  <si>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</si>
  <si>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</si>
  <si>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</si>
  <si>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</si>
  <si>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</si>
  <si>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</si>
  <si>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</si>
  <si>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</si>
  <si>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</si>
  <si>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</si>
  <si>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</si>
  <si>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</si>
  <si>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</si>
  <si>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</si>
  <si>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</si>
  <si>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</si>
  <si>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</si>
  <si>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</si>
  <si>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</si>
  <si>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</si>
  <si>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</si>
  <si>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</si>
  <si>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</si>
  <si>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</si>
  <si>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</si>
  <si>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</si>
  <si>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</si>
  <si>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</si>
  <si>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</si>
  <si>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</si>
  <si>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</si>
  <si>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</si>
  <si>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</si>
  <si>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</si>
  <si>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</si>
  <si>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</si>
  <si>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</si>
  <si>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</si>
  <si>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</si>
  <si>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</si>
  <si>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</si>
  <si>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</si>
  <si>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</si>
  <si>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</si>
  <si>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</si>
  <si>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</si>
  <si>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</si>
  <si>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</si>
  <si>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</si>
  <si>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</si>
  <si>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</si>
  <si>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</si>
  <si>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</si>
  <si>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</si>
  <si>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</si>
  <si>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</si>
  <si>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</si>
  <si>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</si>
  <si>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</si>
  <si>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</si>
  <si>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</si>
  <si>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</si>
  <si>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</si>
  <si>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</si>
  <si>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</si>
  <si>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</si>
  <si>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</si>
  <si>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</si>
  <si>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</si>
  <si>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</si>
  <si>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</si>
  <si>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</si>
  <si>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</si>
  <si>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</si>
  <si>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</si>
  <si>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</si>
  <si>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</si>
  <si>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</si>
  <si>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</si>
  <si>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</si>
  <si>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</si>
  <si>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</si>
  <si>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</si>
  <si>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</si>
  <si>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</si>
  <si>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</si>
  <si>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</si>
  <si>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</si>
  <si>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</si>
  <si>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</si>
  <si>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</si>
  <si>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</si>
  <si>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</si>
  <si>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</si>
  <si>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</si>
  <si>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</si>
  <si>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</si>
  <si>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</si>
  <si>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</si>
  <si>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</si>
  <si>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</si>
  <si>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</si>
  <si>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</si>
  <si>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</si>
  <si>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</si>
  <si>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</si>
  <si>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</si>
  <si>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</si>
  <si>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</si>
  <si>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</si>
  <si>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</si>
  <si>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</si>
  <si>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</si>
  <si>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</si>
  <si>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</si>
  <si>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</si>
  <si>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</si>
  <si>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</si>
  <si>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</si>
  <si>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</si>
  <si>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</si>
  <si>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</si>
  <si>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</si>
  <si>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</si>
  <si>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</si>
  <si>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</si>
  <si>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</si>
  <si>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</si>
  <si>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</si>
  <si>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</si>
  <si>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</si>
  <si>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</si>
  <si>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</si>
  <si>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</si>
  <si>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</si>
  <si>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</si>
  <si>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</si>
  <si>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</si>
  <si>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</si>
  <si>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</si>
  <si>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</si>
  <si>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</si>
  <si>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</si>
  <si>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</si>
  <si>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</si>
  <si>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</si>
  <si>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</si>
  <si>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</si>
  <si>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</si>
  <si>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</si>
  <si>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</si>
  <si>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</si>
  <si>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</si>
  <si>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</si>
  <si>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</si>
  <si>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</si>
  <si>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</si>
  <si>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</si>
  <si>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</si>
  <si>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</si>
  <si>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</si>
  <si>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</si>
  <si>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</si>
  <si>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</si>
  <si>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</si>
  <si>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</si>
  <si>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</si>
  <si>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</si>
  <si>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</si>
  <si>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</si>
  <si>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</si>
  <si>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</si>
  <si>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</si>
  <si>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</si>
  <si>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</si>
  <si>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</si>
  <si>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</si>
  <si>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</si>
  <si>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</si>
  <si>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</si>
  <si>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</si>
  <si>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</si>
  <si>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</si>
  <si>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</si>
  <si>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</si>
  <si>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</si>
  <si>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</si>
  <si>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</si>
  <si>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</si>
  <si>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</si>
  <si>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</si>
  <si>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</si>
  <si>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</si>
  <si>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</si>
  <si>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</si>
  <si>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</si>
  <si>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</si>
  <si>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</si>
  <si>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</si>
  <si>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</si>
  <si>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</si>
  <si>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</si>
  <si>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</si>
  <si>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</si>
  <si>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</si>
  <si>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</si>
  <si>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</si>
  <si>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</si>
  <si>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</si>
  <si>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</si>
  <si>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</si>
  <si>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</si>
  <si>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</si>
  <si>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</si>
  <si>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</si>
  <si>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</si>
  <si>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</si>
  <si>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</si>
  <si>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</si>
  <si>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</si>
  <si>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</si>
  <si>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</si>
  <si>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</si>
  <si>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</si>
  <si>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</si>
  <si>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</si>
  <si>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</si>
  <si>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</si>
  <si>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</si>
  <si>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</si>
  <si>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</si>
  <si>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</si>
  <si>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</si>
  <si>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</si>
  <si>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</si>
  <si>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</si>
  <si>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</si>
  <si>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</si>
  <si>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</si>
  <si>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</si>
  <si>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</si>
  <si>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</si>
  <si>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</si>
  <si>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</si>
  <si>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</si>
  <si>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</si>
  <si>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</si>
  <si>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</si>
  <si>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</si>
  <si>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</si>
  <si>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</si>
  <si>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</si>
  <si>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</si>
  <si>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</si>
  <si>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</si>
  <si>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</si>
  <si>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</si>
  <si>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</si>
  <si>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</si>
  <si>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</si>
  <si>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</si>
  <si>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</si>
  <si>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</si>
  <si>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</si>
  <si>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</si>
  <si>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</si>
  <si>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</si>
  <si>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</si>
  <si>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</si>
  <si>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</si>
  <si>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</si>
  <si>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</si>
  <si>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</si>
  <si>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</si>
  <si>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</si>
  <si>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</si>
  <si>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</si>
  <si>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</si>
  <si>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</si>
  <si>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</si>
  <si>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</si>
  <si>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</si>
  <si>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</si>
  <si>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</si>
  <si>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</si>
  <si>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</si>
  <si>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</si>
  <si>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</si>
  <si>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</si>
  <si>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</si>
  <si>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</si>
  <si>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</si>
  <si>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</si>
  <si>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</si>
  <si>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</si>
  <si>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</si>
  <si>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</si>
  <si>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</si>
  <si>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</si>
  <si>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</si>
  <si>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</si>
  <si>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</si>
  <si>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</si>
  <si>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</si>
  <si>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</si>
  <si>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</si>
  <si>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</si>
  <si>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</si>
  <si>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</si>
  <si>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</si>
  <si>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</si>
  <si>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</si>
  <si>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</si>
  <si>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</si>
  <si>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</si>
  <si>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</si>
  <si>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</si>
  <si>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</si>
  <si>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</si>
  <si>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</si>
  <si>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</si>
  <si>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</si>
  <si>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</si>
  <si>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</si>
  <si>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</si>
  <si>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</si>
  <si>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</si>
  <si>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</si>
  <si>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</si>
  <si>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</si>
  <si>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</si>
  <si>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</si>
  <si>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</si>
  <si>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</si>
  <si>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</si>
  <si>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</si>
  <si>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</si>
  <si>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</si>
  <si>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</si>
  <si>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</si>
  <si>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</si>
  <si>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</si>
  <si>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</si>
  <si>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</si>
  <si>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</si>
  <si>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</si>
  <si>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</si>
  <si>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</si>
  <si>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</si>
  <si>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</si>
  <si>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</si>
  <si>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</si>
  <si>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</si>
  <si>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</si>
  <si>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</si>
  <si>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</si>
  <si>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</si>
  <si>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</si>
  <si>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</si>
  <si>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</si>
  <si>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</si>
  <si>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</si>
  <si>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</si>
  <si>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</si>
  <si>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</si>
  <si>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</si>
  <si>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</si>
  <si>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</si>
  <si>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</si>
  <si>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</si>
  <si>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</si>
  <si>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</si>
  <si>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</si>
  <si>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</si>
  <si>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</si>
  <si>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</si>
  <si>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</si>
  <si>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</si>
  <si>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</si>
  <si>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</si>
  <si>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</si>
  <si>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</si>
  <si>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</si>
  <si>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</si>
  <si>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</si>
  <si>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</si>
  <si>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</si>
  <si>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</si>
  <si>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</si>
  <si>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</si>
  <si>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</si>
  <si>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</si>
  <si>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</si>
  <si>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</si>
  <si>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</si>
  <si>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</si>
  <si>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</si>
  <si>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</si>
  <si>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</si>
  <si>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</si>
  <si>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</si>
  <si>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</si>
  <si>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</si>
  <si>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</si>
  <si>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</si>
  <si>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</si>
  <si>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</si>
  <si>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</si>
  <si>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</si>
  <si>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</si>
  <si>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</si>
  <si>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</si>
  <si>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</si>
  <si>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</si>
  <si>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</si>
  <si>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</si>
  <si>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</si>
  <si>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</si>
  <si>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</si>
  <si>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</si>
  <si>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</si>
  <si>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</si>
  <si>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</si>
  <si>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</si>
  <si>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</si>
  <si>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</si>
  <si>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</si>
  <si>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</si>
  <si>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</si>
  <si>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</si>
  <si>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</si>
  <si>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</si>
  <si>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</si>
  <si>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</si>
  <si>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</si>
  <si>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</si>
  <si>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</si>
  <si>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</si>
  <si>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</si>
  <si>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</si>
  <si>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</si>
  <si>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</si>
  <si>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</si>
  <si>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</si>
  <si>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</si>
  <si>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</si>
  <si>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</si>
  <si>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</si>
  <si>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</si>
  <si>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</si>
  <si>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</si>
  <si>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</si>
  <si>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</si>
  <si>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</si>
  <si>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</si>
  <si>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</si>
  <si>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</si>
  <si>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</si>
  <si>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</si>
  <si>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</si>
  <si>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</si>
  <si>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</si>
  <si>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</si>
  <si>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</si>
  <si>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</si>
  <si>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</si>
  <si>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</si>
  <si>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</si>
  <si>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</si>
  <si>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</si>
  <si>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</si>
  <si>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</si>
  <si>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</si>
  <si>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</si>
  <si>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</si>
  <si>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</si>
  <si>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</si>
  <si>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</si>
  <si>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</si>
  <si>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</si>
  <si>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</si>
  <si>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</si>
  <si>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</si>
  <si>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</si>
  <si>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</si>
  <si>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</si>
  <si>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</si>
  <si>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</si>
  <si>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</si>
  <si>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</si>
  <si>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</si>
  <si>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</si>
  <si>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</si>
  <si>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</si>
  <si>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</si>
  <si>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</si>
  <si>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</si>
  <si>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</si>
  <si>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</si>
  <si>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</si>
  <si>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</si>
  <si>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</si>
  <si>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</si>
  <si>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</si>
  <si>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</si>
  <si>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</si>
  <si>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</si>
  <si>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</si>
  <si>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</si>
  <si>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</si>
  <si>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</si>
  <si>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</si>
  <si>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</si>
  <si>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</si>
  <si>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</si>
  <si>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</si>
  <si>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</si>
  <si>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</si>
  <si>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</si>
  <si>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</si>
  <si>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</si>
  <si>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</si>
  <si>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</si>
  <si>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</si>
  <si>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</si>
  <si>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</si>
  <si>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</si>
  <si>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</si>
  <si>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</si>
  <si>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</si>
  <si>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</si>
  <si>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</si>
  <si>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</si>
  <si>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</si>
  <si>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</si>
  <si>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</si>
  <si>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</si>
  <si>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</si>
  <si>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</si>
  <si>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</si>
  <si>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</si>
  <si>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</si>
  <si>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</si>
  <si>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</si>
  <si>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</si>
  <si>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</si>
  <si>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</si>
  <si>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</si>
  <si>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</si>
  <si>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</si>
  <si>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</si>
  <si>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</si>
  <si>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</si>
  <si>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</si>
  <si>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</si>
  <si>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</si>
  <si>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</si>
  <si>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</si>
  <si>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</si>
  <si>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</si>
  <si>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</si>
  <si>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</si>
  <si>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</si>
  <si>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</si>
  <si>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</si>
  <si>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</si>
  <si>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</si>
  <si>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</si>
  <si>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</si>
  <si>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</si>
  <si>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</si>
  <si>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</si>
  <si>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</si>
  <si>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</si>
  <si>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</si>
  <si>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</si>
  <si>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</si>
  <si>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</si>
  <si>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</si>
  <si>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</si>
  <si>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</si>
  <si>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</si>
  <si>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</si>
  <si>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</si>
  <si>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</si>
  <si>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</si>
  <si>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</si>
  <si>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</si>
  <si>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</si>
  <si>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</si>
  <si>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</si>
  <si>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</si>
  <si>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</si>
  <si>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</si>
  <si>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</si>
  <si>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</si>
  <si>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</si>
  <si>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</si>
  <si>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</si>
  <si>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</si>
  <si>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</si>
  <si>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</si>
  <si>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</si>
  <si>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</si>
  <si>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</si>
  <si>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</si>
  <si>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</si>
  <si>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</si>
  <si>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</si>
  <si>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</si>
  <si>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</si>
  <si>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</si>
  <si>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</si>
  <si>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</si>
  <si>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</si>
  <si>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</si>
  <si>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</si>
  <si>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</si>
  <si>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</si>
  <si>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</si>
  <si>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</si>
  <si>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</si>
  <si>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</si>
  <si>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</si>
  <si>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</si>
  <si>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</si>
  <si>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</si>
  <si>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</si>
  <si>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</si>
  <si>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</si>
  <si>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</si>
  <si>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</si>
  <si>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</si>
  <si>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</si>
  <si>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</si>
  <si>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</si>
  <si>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</si>
  <si>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</si>
  <si>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</si>
  <si>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</si>
  <si>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</si>
  <si>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</si>
  <si>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</si>
  <si>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</si>
  <si>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</si>
  <si>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</si>
  <si>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</si>
  <si>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</si>
  <si>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</si>
  <si>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</si>
  <si>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</si>
  <si>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</si>
  <si>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</si>
  <si>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</si>
  <si>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</si>
  <si>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</si>
  <si>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</si>
  <si>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</si>
  <si>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</si>
  <si>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</si>
  <si>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</si>
  <si>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</si>
  <si>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</si>
  <si>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</si>
  <si>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</si>
  <si>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</si>
  <si>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</si>
  <si>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</si>
  <si>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</si>
  <si>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</si>
  <si>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</si>
  <si>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</si>
  <si>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</si>
  <si>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</si>
  <si>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</si>
  <si>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</si>
  <si>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</si>
  <si>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</si>
  <si>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</si>
  <si>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</si>
  <si>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</si>
  <si>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</si>
  <si>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</si>
  <si>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</si>
  <si>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</si>
  <si>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</si>
  <si>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</si>
  <si>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</si>
  <si>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</si>
  <si>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</si>
  <si>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</si>
  <si>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</si>
  <si>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</si>
  <si>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</si>
  <si>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</si>
  <si>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</si>
  <si>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</si>
  <si>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</si>
  <si>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</si>
  <si>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</si>
  <si>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</si>
  <si>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</si>
  <si>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</si>
  <si>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</si>
  <si>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</si>
  <si>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</si>
  <si>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</si>
  <si>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</si>
  <si>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</si>
  <si>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</si>
  <si>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</si>
  <si>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</si>
  <si>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</si>
  <si>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</si>
  <si>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</si>
  <si>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</si>
  <si>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</si>
  <si>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</si>
  <si>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</si>
  <si>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</si>
  <si>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</si>
  <si>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</si>
  <si>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</si>
  <si>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</si>
  <si>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</si>
  <si>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</si>
  <si>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</si>
  <si>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</si>
  <si>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</si>
  <si>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</si>
  <si>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</si>
  <si>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</si>
  <si>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</si>
  <si>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</si>
  <si>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</si>
  <si>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</si>
  <si>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</si>
  <si>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</si>
  <si>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</si>
  <si>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</si>
  <si>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</si>
  <si>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</si>
  <si>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</si>
  <si>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</si>
  <si>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</si>
  <si>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</si>
  <si>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</si>
  <si>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</si>
  <si>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</si>
  <si>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</si>
  <si>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</si>
  <si>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</si>
  <si>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</si>
  <si>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</si>
  <si>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</si>
  <si>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</si>
  <si>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</si>
  <si>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</si>
  <si>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</si>
  <si>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</si>
  <si>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</si>
  <si>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</si>
  <si>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</si>
  <si>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</si>
  <si>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</si>
  <si>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</si>
  <si>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</si>
  <si>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</si>
  <si>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</si>
  <si>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</si>
  <si>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</si>
  <si>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</si>
  <si>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</si>
  <si>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</si>
  <si>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</si>
  <si>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</si>
  <si>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</si>
  <si>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</si>
  <si>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</si>
  <si>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</si>
  <si>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</si>
  <si>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</si>
  <si>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</si>
  <si>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</si>
  <si>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</si>
  <si>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</si>
  <si>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</si>
  <si>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</si>
  <si>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</si>
  <si>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</si>
  <si>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</si>
  <si>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</si>
  <si>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</si>
  <si>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</si>
  <si>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</si>
  <si>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</si>
  <si>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</si>
  <si>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</si>
  <si>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</si>
  <si>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</si>
  <si>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</si>
  <si>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</si>
  <si>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</si>
  <si>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</si>
  <si>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</si>
  <si>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</si>
  <si>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</si>
  <si>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</si>
  <si>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</si>
  <si>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</si>
  <si>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</si>
  <si>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</si>
  <si>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</si>
  <si>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</si>
  <si>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</si>
  <si>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</si>
  <si>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</si>
  <si>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</si>
  <si>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</si>
  <si>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</si>
  <si>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</si>
  <si>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</si>
  <si>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</si>
  <si>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</si>
  <si>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</si>
  <si>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</si>
  <si>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</si>
  <si>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</si>
  <si>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</si>
  <si>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</si>
  <si>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</si>
  <si>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</si>
  <si>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</si>
  <si>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</si>
  <si>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</si>
  <si>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</si>
  <si>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</si>
  <si>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</si>
  <si>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</si>
  <si>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</si>
  <si>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</si>
  <si>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</si>
  <si>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</si>
  <si>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</si>
  <si>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</si>
  <si>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</si>
  <si>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</si>
  <si>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</si>
  <si>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</si>
  <si>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</si>
  <si>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</si>
  <si>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</si>
  <si>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</si>
  <si>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</si>
  <si>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</si>
  <si>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</si>
  <si>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</si>
  <si>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</si>
  <si>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</si>
  <si>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</si>
  <si>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</si>
  <si>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</si>
  <si>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</si>
  <si>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</si>
  <si>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</si>
  <si>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</si>
  <si>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</si>
  <si>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</si>
  <si>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</si>
  <si>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</si>
  <si>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</si>
  <si>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</si>
  <si>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</si>
  <si>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</si>
  <si>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</si>
  <si>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</si>
  <si>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</si>
  <si>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</si>
  <si>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</si>
  <si>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</si>
  <si>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</si>
  <si>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</si>
  <si>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</si>
  <si>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</si>
  <si>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</si>
  <si>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</si>
  <si>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</si>
  <si>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</si>
  <si>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</si>
  <si>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</si>
  <si>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</si>
  <si>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</si>
  <si>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</si>
  <si>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</si>
  <si>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</si>
  <si>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</si>
  <si>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</si>
  <si>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</si>
  <si>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</si>
  <si>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</si>
  <si>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</si>
  <si>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</si>
  <si>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</si>
  <si>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</si>
  <si>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</si>
  <si>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</si>
  <si>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</si>
  <si>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</si>
  <si>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</si>
  <si>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</si>
  <si>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</si>
  <si>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</si>
  <si>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</si>
  <si>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</si>
  <si>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</si>
  <si>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</si>
  <si>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</si>
  <si>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</si>
  <si>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</si>
  <si>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</si>
  <si>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</si>
  <si>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</si>
  <si>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</si>
  <si>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</si>
  <si>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</si>
  <si>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</si>
  <si>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</si>
  <si>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</si>
  <si>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</si>
  <si>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</si>
  <si>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</si>
  <si>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</si>
  <si>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</si>
  <si>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</si>
  <si>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</si>
  <si>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</si>
  <si>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</si>
  <si>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</si>
  <si>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</si>
  <si>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</si>
  <si>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</si>
  <si>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</si>
  <si>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</si>
  <si>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</si>
  <si>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</si>
  <si>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</si>
  <si>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</si>
  <si>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</si>
  <si>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</si>
  <si>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</si>
  <si>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</si>
  <si>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</si>
  <si>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</si>
  <si>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</si>
  <si>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</si>
  <si>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</si>
  <si>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</si>
  <si>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</si>
  <si>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</si>
  <si>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</si>
  <si>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</si>
  <si>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</si>
  <si>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</si>
  <si>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</si>
  <si>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</si>
  <si>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</si>
  <si>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</si>
  <si>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</si>
  <si>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</si>
  <si>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</si>
  <si>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</si>
  <si>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</si>
  <si>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</si>
  <si>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</si>
  <si>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</si>
  <si>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</si>
  <si>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</si>
  <si>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</si>
  <si>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</si>
  <si>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</si>
  <si>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</si>
  <si>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</si>
  <si>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</si>
  <si>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</si>
  <si>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</si>
  <si>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</si>
  <si>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</si>
  <si>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</si>
  <si>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</si>
  <si>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</si>
  <si>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</si>
  <si>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</si>
  <si>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</si>
  <si>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</si>
  <si>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</si>
  <si>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</si>
  <si>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</si>
  <si>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</si>
  <si>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</si>
  <si>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</si>
  <si>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</si>
  <si>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</si>
  <si>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</si>
  <si>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</si>
  <si>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</si>
  <si>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</si>
  <si>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</si>
  <si>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</si>
  <si>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</si>
  <si>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</si>
  <si>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</si>
  <si>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</si>
  <si>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</si>
  <si>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</si>
  <si>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</si>
  <si>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</si>
  <si>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</si>
  <si>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</si>
  <si>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</si>
  <si>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</si>
  <si>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</si>
  <si>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</si>
  <si>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</si>
  <si>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</si>
  <si>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</si>
  <si>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</si>
  <si>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</si>
  <si>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</si>
  <si>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</si>
  <si>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</si>
  <si>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</si>
  <si>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</si>
  <si>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</si>
  <si>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</si>
  <si>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</si>
  <si>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</si>
  <si>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</si>
  <si>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</si>
  <si>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</si>
  <si>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</si>
  <si>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</si>
  <si>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</si>
  <si>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</si>
  <si>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</si>
  <si>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</si>
  <si>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</si>
  <si>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</si>
  <si>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</si>
  <si>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</si>
  <si>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</si>
  <si>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</si>
  <si>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</si>
  <si>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</si>
  <si>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</si>
  <si>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</si>
  <si>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</si>
  <si>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</si>
  <si>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</si>
  <si>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</si>
  <si>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</si>
  <si>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</si>
  <si>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</si>
  <si>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</si>
  <si>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</si>
  <si>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</si>
  <si>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</si>
  <si>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</si>
  <si>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</si>
  <si>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</si>
  <si>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</si>
  <si>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</si>
  <si>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</si>
  <si>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</si>
  <si>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</si>
  <si>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</si>
  <si>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</si>
  <si>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</si>
  <si>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</si>
  <si>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</si>
  <si>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</si>
  <si>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</si>
  <si>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</si>
  <si>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</si>
  <si>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</si>
  <si>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</si>
  <si>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</si>
  <si>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</si>
  <si>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</si>
  <si>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</si>
  <si>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</si>
  <si>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</si>
  <si>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</si>
  <si>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</si>
  <si>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</si>
  <si>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</si>
  <si>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</si>
  <si>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</si>
  <si>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</si>
  <si>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</si>
  <si>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</si>
  <si>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</si>
  <si>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</si>
  <si>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</si>
  <si>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</si>
  <si>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</si>
  <si>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</si>
  <si>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</si>
  <si>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</si>
  <si>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</si>
  <si>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</si>
  <si>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</si>
  <si>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</si>
  <si>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</si>
  <si>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</si>
  <si>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</si>
  <si>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</si>
  <si>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</si>
  <si>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</si>
  <si>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</si>
  <si>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</si>
  <si>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</si>
  <si>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</si>
  <si>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</si>
  <si>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</si>
  <si>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</si>
  <si>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</si>
  <si>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</si>
  <si>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</si>
  <si>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</si>
  <si>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</si>
  <si>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</si>
  <si>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</si>
  <si>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</si>
  <si>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</si>
  <si>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</si>
  <si>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</si>
  <si>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</si>
  <si>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</si>
  <si>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</si>
  <si>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</si>
  <si>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</si>
  <si>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</si>
  <si>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</si>
  <si>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</si>
  <si>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</si>
  <si>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</si>
  <si>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</si>
  <si>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</si>
  <si>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</si>
  <si>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</si>
  <si>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</si>
  <si>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</si>
  <si>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</si>
  <si>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</si>
  <si>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</si>
  <si>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</si>
  <si>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</si>
  <si>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</si>
  <si>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</si>
  <si>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</si>
  <si>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</si>
  <si>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</si>
  <si>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</si>
  <si>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</si>
  <si>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</si>
  <si>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</si>
  <si>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</si>
  <si>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</si>
  <si>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</si>
  <si>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</si>
  <si>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</si>
  <si>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</si>
  <si>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</si>
  <si>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</si>
  <si>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</si>
  <si>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</si>
  <si>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</si>
  <si>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</si>
  <si>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</si>
  <si>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</si>
  <si>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</si>
  <si>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</si>
  <si>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</si>
  <si>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</si>
  <si>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</si>
  <si>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</si>
  <si>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</si>
  <si>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</si>
  <si>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</si>
  <si>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</si>
  <si>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</si>
  <si>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</si>
  <si>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</si>
  <si>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</si>
  <si>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</si>
  <si>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</si>
  <si>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</si>
  <si>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</si>
  <si>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</si>
  <si>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</si>
  <si>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</si>
  <si>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</si>
  <si>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</si>
  <si>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</si>
  <si>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</si>
  <si>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</si>
  <si>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</si>
  <si>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</si>
  <si>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</si>
  <si>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</si>
  <si>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</si>
  <si>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</si>
  <si>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</si>
  <si>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</si>
  <si>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</si>
  <si>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</si>
  <si>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</si>
  <si>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</si>
  <si>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</si>
  <si>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</si>
  <si>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</si>
  <si>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</si>
  <si>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</si>
  <si>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</si>
  <si>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</si>
  <si>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</si>
  <si>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</si>
  <si>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</si>
  <si>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</si>
  <si>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</si>
  <si>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</si>
  <si>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</si>
  <si>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</si>
  <si>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</si>
  <si>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</si>
  <si>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</si>
  <si>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</si>
  <si>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</si>
  <si>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</si>
  <si>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</si>
  <si>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</si>
  <si>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</si>
  <si>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</si>
  <si>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</si>
  <si>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</si>
  <si>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</si>
  <si>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</si>
  <si>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</si>
  <si>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</si>
  <si>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</si>
  <si>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</si>
  <si>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</si>
  <si>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</si>
  <si>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</si>
  <si>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</si>
  <si>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</si>
  <si>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</si>
  <si>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</si>
  <si>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</si>
  <si>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</si>
  <si>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</si>
  <si>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</si>
  <si>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</si>
  <si>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</si>
  <si>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</si>
  <si>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</si>
  <si>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</si>
  <si>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</si>
  <si>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</si>
  <si>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</si>
  <si>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</si>
  <si>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</si>
  <si>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</si>
  <si>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</si>
  <si>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</si>
  <si>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</si>
  <si>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</si>
  <si>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</si>
  <si>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</si>
  <si>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</si>
  <si>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</si>
  <si>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</si>
  <si>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</si>
  <si>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</si>
  <si>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</si>
  <si>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</si>
  <si>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</si>
  <si>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</si>
  <si>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</si>
  <si>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</si>
  <si>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</si>
  <si>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</si>
  <si>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</si>
  <si>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</si>
  <si>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</si>
  <si>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</si>
  <si>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</si>
  <si>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</si>
  <si>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</si>
  <si>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</si>
  <si>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</si>
  <si>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</si>
  <si>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</si>
  <si>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</si>
  <si>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</si>
  <si>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</si>
  <si>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</si>
  <si>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</si>
  <si>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</si>
  <si>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</si>
  <si>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</si>
  <si>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</si>
  <si>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</si>
  <si>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</si>
  <si>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</si>
  <si>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</si>
  <si>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</si>
  <si>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</si>
  <si>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</si>
  <si>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</si>
  <si>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</si>
  <si>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</si>
  <si>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</si>
  <si>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</si>
  <si>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</si>
  <si>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</si>
  <si>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</si>
  <si>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</si>
  <si>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</si>
  <si>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</si>
  <si>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</si>
  <si>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</si>
  <si>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</si>
  <si>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</si>
  <si>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</si>
  <si>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</si>
  <si>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</si>
  <si>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</si>
  <si>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</si>
  <si>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</si>
  <si>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</si>
  <si>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</si>
  <si>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</si>
  <si>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</si>
  <si>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</si>
  <si>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</si>
  <si>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</si>
  <si>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</si>
  <si>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</si>
  <si>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</si>
  <si>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</si>
  <si>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</si>
  <si>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</si>
  <si>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</si>
  <si>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</si>
  <si>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</si>
  <si>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</si>
  <si>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</si>
  <si>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</si>
  <si>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</si>
  <si>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</si>
  <si>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</si>
  <si>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</si>
  <si>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</si>
  <si>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</si>
  <si>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</si>
  <si>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</si>
  <si>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</si>
  <si>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</si>
  <si>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</si>
  <si>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</si>
  <si>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</si>
  <si>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</si>
  <si>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</si>
  <si>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</si>
  <si>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</si>
  <si>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</si>
  <si>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</si>
  <si>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</si>
  <si>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</si>
  <si>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</si>
  <si>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</si>
  <si>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</si>
  <si>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</si>
  <si>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</si>
  <si>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</si>
  <si>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</si>
  <si>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</si>
  <si>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</si>
  <si>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</si>
  <si>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</si>
  <si>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</si>
  <si>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</si>
  <si>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</si>
  <si>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</si>
  <si>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</si>
  <si>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</si>
  <si>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</si>
  <si>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</si>
  <si>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</si>
  <si>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</si>
  <si>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</si>
  <si>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</si>
  <si>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</si>
  <si>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</si>
  <si>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</si>
  <si>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</si>
  <si>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</si>
  <si>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</si>
  <si>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</si>
  <si>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</si>
  <si>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</si>
  <si>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</si>
  <si>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</si>
  <si>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</si>
  <si>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</si>
  <si>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</si>
  <si>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</si>
  <si>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</si>
  <si>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</si>
  <si>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</si>
  <si>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</si>
  <si>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</si>
  <si>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</si>
  <si>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</si>
  <si>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</si>
  <si>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</si>
  <si>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</si>
  <si>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</si>
  <si>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</si>
  <si>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</si>
  <si>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</si>
  <si>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</si>
  <si>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</si>
  <si>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</si>
  <si>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</si>
  <si>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</si>
  <si>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</si>
  <si>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</si>
  <si>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</si>
  <si>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</si>
  <si>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</si>
  <si>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</si>
  <si>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</si>
  <si>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</si>
  <si>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</si>
  <si>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</si>
  <si>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</si>
  <si>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</si>
  <si>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</si>
  <si>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</si>
  <si>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</si>
  <si>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</si>
  <si>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</si>
  <si>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</si>
  <si>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</si>
  <si>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</si>
  <si>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</si>
  <si>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</si>
  <si>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</si>
  <si>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</si>
  <si>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</si>
  <si>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</si>
  <si>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</si>
  <si>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</si>
  <si>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</si>
  <si>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</si>
  <si>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</si>
  <si>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</si>
  <si>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</si>
  <si>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</si>
  <si>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</si>
  <si>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</si>
  <si>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</si>
  <si>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</si>
  <si>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</si>
  <si>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</si>
  <si>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</si>
  <si>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</si>
  <si>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</si>
  <si>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</si>
  <si>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</si>
  <si>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</si>
  <si>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</si>
  <si>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</si>
  <si>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</si>
  <si>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</si>
  <si>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</si>
  <si>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</si>
  <si>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</si>
  <si>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</si>
  <si>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</si>
  <si>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</si>
  <si>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</si>
  <si>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</si>
  <si>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</si>
  <si>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</si>
  <si>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</si>
  <si>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</si>
  <si>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</si>
  <si>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</si>
  <si>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</si>
  <si>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</si>
  <si>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</si>
  <si>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</si>
  <si>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</si>
  <si>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</si>
  <si>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</si>
  <si>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</si>
  <si>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</si>
  <si>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</si>
  <si>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</si>
  <si>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</si>
  <si>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</si>
  <si>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</si>
  <si>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</si>
  <si>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</si>
  <si>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</si>
  <si>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</si>
  <si>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</si>
  <si>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</si>
  <si>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</si>
  <si>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</si>
  <si>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</si>
  <si>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</si>
  <si>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</si>
  <si>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</si>
  <si>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</si>
  <si>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</si>
  <si>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</si>
  <si>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</si>
  <si>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</si>
  <si>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</si>
  <si>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</si>
  <si>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</si>
  <si>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</si>
  <si>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</si>
  <si>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</si>
  <si>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</si>
  <si>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</si>
  <si>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</si>
  <si>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</si>
  <si>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</si>
  <si>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</si>
  <si>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</si>
  <si>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</si>
  <si>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</si>
  <si>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</si>
  <si>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</si>
  <si>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</si>
  <si>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</si>
  <si>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</si>
  <si>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</si>
  <si>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</si>
  <si>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</si>
  <si>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</si>
  <si>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</si>
  <si>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</si>
  <si>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</si>
  <si>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</si>
  <si>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</si>
  <si>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</si>
  <si>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</si>
  <si>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</si>
  <si>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</si>
  <si>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</si>
  <si>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</si>
  <si>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</si>
  <si>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</si>
  <si>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</si>
  <si>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</si>
  <si>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</si>
  <si>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</si>
  <si>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</si>
  <si>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</si>
  <si>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</si>
  <si>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</si>
  <si>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</si>
  <si>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</si>
  <si>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</si>
  <si>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</si>
  <si>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</si>
  <si>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</si>
  <si>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</si>
  <si>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</si>
  <si>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</si>
  <si>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</si>
  <si>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</si>
  <si>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</si>
  <si>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</si>
  <si>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</si>
  <si>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</si>
  <si>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</si>
  <si>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</si>
  <si>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</si>
  <si>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</si>
  <si>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</si>
  <si>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</si>
  <si>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</si>
  <si>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</si>
  <si>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</si>
  <si>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</si>
  <si>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</si>
  <si>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</si>
  <si>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</si>
  <si>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</si>
  <si>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</si>
  <si>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</si>
  <si>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</si>
  <si>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</si>
  <si>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</si>
  <si>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</si>
  <si>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</si>
  <si>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</si>
  <si>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</si>
  <si>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</si>
  <si>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</si>
  <si>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</si>
  <si>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</si>
  <si>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</si>
  <si>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</si>
  <si>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</si>
  <si>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</si>
  <si>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</si>
  <si>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</si>
  <si>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</si>
  <si>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</si>
  <si>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</si>
  <si>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</si>
  <si>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</si>
  <si>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</si>
  <si>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</si>
  <si>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</si>
  <si>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</si>
  <si>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</si>
  <si>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</si>
  <si>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</si>
  <si>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</si>
  <si>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</si>
  <si>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</si>
  <si>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</si>
  <si>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</si>
  <si>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</si>
  <si>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</si>
  <si>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</si>
  <si>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</si>
  <si>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</si>
  <si>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</si>
  <si>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</si>
  <si>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</si>
  <si>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</si>
  <si>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</si>
  <si>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</si>
  <si>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</si>
  <si>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</si>
  <si>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</si>
  <si>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</si>
  <si>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</si>
  <si>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</si>
  <si>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</si>
  <si>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</si>
  <si>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</si>
  <si>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</si>
  <si>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</si>
  <si>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</si>
  <si>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</si>
  <si>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</si>
  <si>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</si>
  <si>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</si>
  <si>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</si>
  <si>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</si>
  <si>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</si>
  <si>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</si>
  <si>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</si>
  <si>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</si>
  <si>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</si>
  <si>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</si>
  <si>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</si>
  <si>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</si>
  <si>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</si>
  <si>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</si>
  <si>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</si>
  <si>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</si>
  <si>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</si>
  <si>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</si>
  <si>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</si>
  <si>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</si>
  <si>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</si>
  <si>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</si>
  <si>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</si>
  <si>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</si>
  <si>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</si>
  <si>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</si>
  <si>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</si>
  <si>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</si>
  <si>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</si>
  <si>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</si>
  <si>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</si>
  <si>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</si>
  <si>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</si>
  <si>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</si>
  <si>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</si>
  <si>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</si>
  <si>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</si>
  <si>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</si>
  <si>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</si>
  <si>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</si>
  <si>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</si>
  <si>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</si>
  <si>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</si>
  <si>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</si>
  <si>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</si>
  <si>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</si>
  <si>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</si>
  <si>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</si>
  <si>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</si>
  <si>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</si>
  <si>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</si>
  <si>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</si>
  <si>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</si>
  <si>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</si>
  <si>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</si>
  <si>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</si>
  <si>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</si>
  <si>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</si>
  <si>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</si>
  <si>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</si>
  <si>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</si>
  <si>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</si>
  <si>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</si>
  <si>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</si>
  <si>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</si>
  <si>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</si>
  <si>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</si>
  <si>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</si>
  <si>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</si>
  <si>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</si>
  <si>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</si>
  <si>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</si>
  <si>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</si>
  <si>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</si>
  <si>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</si>
  <si>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</si>
  <si>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</si>
  <si>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</si>
  <si>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</si>
  <si>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</si>
  <si>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</si>
  <si>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</si>
  <si>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</si>
  <si>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</si>
  <si>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</si>
  <si>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</si>
  <si>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</si>
  <si>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</si>
  <si>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</si>
  <si>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</si>
  <si>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</si>
  <si>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</si>
  <si>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</si>
  <si>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</si>
  <si>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</si>
  <si>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</si>
  <si>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</si>
  <si>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</si>
  <si>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</si>
  <si>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</si>
  <si>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</si>
  <si>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</si>
  <si>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</si>
  <si>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</si>
  <si>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</si>
  <si>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</si>
  <si>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</si>
  <si>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</si>
  <si>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</si>
  <si>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</si>
  <si>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</si>
  <si>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</si>
  <si>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</si>
  <si>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</si>
  <si>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</si>
  <si>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</si>
  <si>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</si>
  <si>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</si>
  <si>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</si>
  <si>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</si>
  <si>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</si>
  <si>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</si>
  <si>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</si>
  <si>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</si>
  <si>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</si>
  <si>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</si>
  <si>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</si>
  <si>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</si>
  <si>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</si>
  <si>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</si>
  <si>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</si>
  <si>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</si>
  <si>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</si>
  <si>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</si>
  <si>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</si>
  <si>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</si>
  <si>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</si>
  <si>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</si>
  <si>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</si>
  <si>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</si>
  <si>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</si>
  <si>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</si>
  <si>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</si>
  <si>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</si>
  <si>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</si>
  <si>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</si>
  <si>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</si>
  <si>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</si>
  <si>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</si>
  <si>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</si>
  <si>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</si>
  <si>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</si>
  <si>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</si>
  <si>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</si>
  <si>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</si>
  <si>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</si>
  <si>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</si>
  <si>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</si>
  <si>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</si>
  <si>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</si>
  <si>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</si>
  <si>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</si>
  <si>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</si>
  <si>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</si>
  <si>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</si>
  <si>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</si>
  <si>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</si>
  <si>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</si>
  <si>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</si>
  <si>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</si>
  <si>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</si>
  <si>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</si>
  <si>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</si>
  <si>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</si>
  <si>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</si>
  <si>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</si>
  <si>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</si>
  <si>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</si>
  <si>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</si>
  <si>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</si>
  <si>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</si>
  <si>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</si>
  <si>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</si>
  <si>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</si>
  <si>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</si>
  <si>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</si>
  <si>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</si>
  <si>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</si>
  <si>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</si>
  <si>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</si>
  <si>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</si>
  <si>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</si>
  <si>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</si>
  <si>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</si>
  <si>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</si>
  <si>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</si>
  <si>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</si>
  <si>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</si>
  <si>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</si>
  <si>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</si>
  <si>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</si>
  <si>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</si>
  <si>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</si>
  <si>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</si>
  <si>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</si>
  <si>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</si>
  <si>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</si>
  <si>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</si>
  <si>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</si>
  <si>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</si>
  <si>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</si>
  <si>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</si>
  <si>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</si>
  <si>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</si>
  <si>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</si>
  <si>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</si>
  <si>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</si>
  <si>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</si>
  <si>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</si>
  <si>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</si>
  <si>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</si>
  <si>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</si>
  <si>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</si>
  <si>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</si>
  <si>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</si>
  <si>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</si>
  <si>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</si>
  <si>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</si>
  <si>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</si>
  <si>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</si>
  <si>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</si>
  <si>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</si>
  <si>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</si>
  <si>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</si>
  <si>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</si>
  <si>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</si>
  <si>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</si>
  <si>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</si>
  <si>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</si>
  <si>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</si>
  <si>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</si>
  <si>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</si>
  <si>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</si>
  <si>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</si>
  <si>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</si>
  <si>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</si>
  <si>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</si>
  <si>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</si>
  <si>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</si>
  <si>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</si>
  <si>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</si>
  <si>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</si>
  <si>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</si>
  <si>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</si>
  <si>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</si>
  <si>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</si>
  <si>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</si>
  <si>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</si>
  <si>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</si>
  <si>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</si>
  <si>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</si>
  <si>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</si>
  <si>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</si>
  <si>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</si>
  <si>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</si>
  <si>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</si>
  <si>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</si>
  <si>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</si>
  <si>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</si>
  <si>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</si>
  <si>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</si>
  <si>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</si>
  <si>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</si>
  <si>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</si>
  <si>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</si>
  <si>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</si>
  <si>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</si>
  <si>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</si>
  <si>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</si>
  <si>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</si>
  <si>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</si>
  <si>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</si>
  <si>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</si>
  <si>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</si>
  <si>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</si>
  <si>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</si>
  <si>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</si>
  <si>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</si>
  <si>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</si>
  <si>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</si>
  <si>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</si>
  <si>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</si>
  <si>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</si>
  <si>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</si>
  <si>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</si>
  <si>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</si>
  <si>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</si>
  <si>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</si>
  <si>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</si>
  <si>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</si>
  <si>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</si>
  <si>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</si>
  <si>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</si>
  <si>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</si>
  <si>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</si>
  <si>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</si>
  <si>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</si>
  <si>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</si>
  <si>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</si>
  <si>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</si>
  <si>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</si>
  <si>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</si>
  <si>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</si>
  <si>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</si>
  <si>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</si>
  <si>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</si>
  <si>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</si>
  <si>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</si>
  <si>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</si>
  <si>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</si>
  <si>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</si>
  <si>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</si>
  <si>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</si>
  <si>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</si>
  <si>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</si>
  <si>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</si>
  <si>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</si>
  <si>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</si>
  <si>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</si>
  <si>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</si>
  <si>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</si>
  <si>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</si>
  <si>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</si>
  <si>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</si>
  <si>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</si>
  <si>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</si>
  <si>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</si>
  <si>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</si>
  <si>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</si>
  <si>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</si>
  <si>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</si>
  <si>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</si>
  <si>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</si>
  <si>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</si>
  <si>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</si>
  <si>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</si>
  <si>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</si>
  <si>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</si>
  <si>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</si>
  <si>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</si>
  <si>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</si>
  <si>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</si>
  <si>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</si>
  <si>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</si>
  <si>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</si>
  <si>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</si>
  <si>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</si>
  <si>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</si>
  <si>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</si>
  <si>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</si>
  <si>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</si>
  <si>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</si>
  <si>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</si>
  <si>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</si>
  <si>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</si>
  <si>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</si>
  <si>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</si>
  <si>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</si>
  <si>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</si>
  <si>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</si>
  <si>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</si>
  <si>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</si>
  <si>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</si>
  <si>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</si>
  <si>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</si>
  <si>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</si>
  <si>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</si>
  <si>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</si>
  <si>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</si>
  <si>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</si>
  <si>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</si>
  <si>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</si>
  <si>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</si>
  <si>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</si>
  <si>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</si>
  <si>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</si>
  <si>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</si>
  <si>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</si>
  <si>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</si>
  <si>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</si>
  <si>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</si>
  <si>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</si>
  <si>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</si>
  <si>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</si>
  <si>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</si>
  <si>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</si>
  <si>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</si>
  <si>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</si>
  <si>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</si>
  <si>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</si>
  <si>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</si>
  <si>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</si>
  <si>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</si>
  <si>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</si>
  <si>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</si>
  <si>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</si>
  <si>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</si>
  <si>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</si>
  <si>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</si>
  <si>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</si>
  <si>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</si>
  <si>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</si>
  <si>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</si>
  <si>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</si>
  <si>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</si>
  <si>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</si>
  <si>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</si>
  <si>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</si>
  <si>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</si>
  <si>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</si>
  <si>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</si>
  <si>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</si>
  <si>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</si>
  <si>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</si>
  <si>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</si>
  <si>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</si>
  <si>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</si>
  <si>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</si>
  <si>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</si>
  <si>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</si>
  <si>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</si>
  <si>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</si>
  <si>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</si>
  <si>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</si>
  <si>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</si>
  <si>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</si>
  <si>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</si>
  <si>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</si>
  <si>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</si>
  <si>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</si>
  <si>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</si>
  <si>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</si>
  <si>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</si>
  <si>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</si>
  <si>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</si>
  <si>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</si>
  <si>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</si>
  <si>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</si>
  <si>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</si>
  <si>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</si>
  <si>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</si>
  <si>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</si>
  <si>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</si>
  <si>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</si>
  <si>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</si>
  <si>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</si>
  <si>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</si>
  <si>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</si>
  <si>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</si>
  <si>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</si>
  <si>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</si>
  <si>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</si>
  <si>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</si>
  <si>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</si>
  <si>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</si>
  <si>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</si>
  <si>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</si>
  <si>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</si>
  <si>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</si>
  <si>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</si>
  <si>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</si>
  <si>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</si>
  <si>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</si>
  <si>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</si>
  <si>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</si>
  <si>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</si>
  <si>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</si>
  <si>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</si>
  <si>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</si>
  <si>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</si>
  <si>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</si>
  <si>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</si>
  <si>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</si>
  <si>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</si>
  <si>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</si>
  <si>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</si>
  <si>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</si>
  <si>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</si>
  <si>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</si>
  <si>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</si>
  <si>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</si>
  <si>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</si>
  <si>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</si>
  <si>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</si>
  <si>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</si>
  <si>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</si>
  <si>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</si>
  <si>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</si>
  <si>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</si>
  <si>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</si>
  <si>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</si>
  <si>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</si>
  <si>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</si>
  <si>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</si>
  <si>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</si>
  <si>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</si>
  <si>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</si>
  <si>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</si>
  <si>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</si>
  <si>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</si>
  <si>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</si>
  <si>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</si>
  <si>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</si>
  <si>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</si>
  <si>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</si>
  <si>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</si>
  <si>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</si>
  <si>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</si>
  <si>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</si>
  <si>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</si>
  <si>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</si>
  <si>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</si>
  <si>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</si>
  <si>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</si>
  <si>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</si>
  <si>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</si>
  <si>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</si>
  <si>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</si>
  <si>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</si>
  <si>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</si>
  <si>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</si>
  <si>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</si>
  <si>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</si>
  <si>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</si>
  <si>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</si>
  <si>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</si>
  <si>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</si>
  <si>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</si>
  <si>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</si>
  <si>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</si>
  <si>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</si>
  <si>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</si>
  <si>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</si>
  <si>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</si>
  <si>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</si>
  <si>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</si>
  <si>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</si>
  <si>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</si>
  <si>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</si>
  <si>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</si>
  <si>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</si>
  <si>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</si>
  <si>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</si>
  <si>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</si>
  <si>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</si>
  <si>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</si>
  <si>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</si>
  <si>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</si>
  <si>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</si>
  <si>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</si>
  <si>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</si>
  <si>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</si>
  <si>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</si>
  <si>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</si>
  <si>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</si>
  <si>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</si>
  <si>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</si>
  <si>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</si>
  <si>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</si>
  <si>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</si>
  <si>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</si>
  <si>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</si>
  <si>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</si>
  <si>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</si>
  <si>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</si>
  <si>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</si>
  <si>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</si>
  <si>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</si>
  <si>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</si>
  <si>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</si>
  <si>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</si>
  <si>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</si>
  <si>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</si>
  <si>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</si>
  <si>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</si>
  <si>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</si>
  <si>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</si>
  <si>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</si>
  <si>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</si>
  <si>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</si>
  <si>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</si>
  <si>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</si>
  <si>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</si>
  <si>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</si>
  <si>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</si>
  <si>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</si>
  <si>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</si>
  <si>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</si>
  <si>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</si>
  <si>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</si>
  <si>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</si>
  <si>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</si>
  <si>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</si>
  <si>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</si>
  <si>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</si>
  <si>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</si>
  <si>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</si>
  <si>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</si>
  <si>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</si>
  <si>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</si>
  <si>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</si>
  <si>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</si>
  <si>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</si>
  <si>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</si>
  <si>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</si>
  <si>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</si>
  <si>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</si>
  <si>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</si>
  <si>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</si>
  <si>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</si>
  <si>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</si>
  <si>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</si>
  <si>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</si>
  <si>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</si>
  <si>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</si>
  <si>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</si>
  <si>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</si>
  <si>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</si>
  <si>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</si>
  <si>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</si>
  <si>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</si>
  <si>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</si>
  <si>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</si>
  <si>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</si>
  <si>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</si>
  <si>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</si>
  <si>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</si>
  <si>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</si>
  <si>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</si>
  <si>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</si>
  <si>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</si>
  <si>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</si>
  <si>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</si>
  <si>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</si>
  <si>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</si>
  <si>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</si>
  <si>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</si>
  <si>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</si>
  <si>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</si>
  <si>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</si>
  <si>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</si>
  <si>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</si>
  <si>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</si>
  <si>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</si>
  <si>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</si>
  <si>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</si>
  <si>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</si>
  <si>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</si>
  <si>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</si>
  <si>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</si>
  <si>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</si>
  <si>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</si>
  <si>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</si>
  <si>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</si>
  <si>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</si>
  <si>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</si>
  <si>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</si>
  <si>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</si>
  <si>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</si>
  <si>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</si>
  <si>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</si>
  <si>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</si>
  <si>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</si>
  <si>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</si>
  <si>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</si>
  <si>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</si>
  <si>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</si>
  <si>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</si>
  <si>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</si>
  <si>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</si>
  <si>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</si>
  <si>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</si>
  <si>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</si>
  <si>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</si>
  <si>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</si>
  <si>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</si>
  <si>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</si>
  <si>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</si>
  <si>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</si>
  <si>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</si>
  <si>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</si>
  <si>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</si>
  <si>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</si>
  <si>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</si>
  <si>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</si>
  <si>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</si>
  <si>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</si>
  <si>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</si>
  <si>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</si>
  <si>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</si>
  <si>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</si>
  <si>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</si>
  <si>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</si>
  <si>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</si>
  <si>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</si>
  <si>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</si>
  <si>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</si>
  <si>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</si>
  <si>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</si>
  <si>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</si>
  <si>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</si>
  <si>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</si>
  <si>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</si>
  <si>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</si>
  <si>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</si>
  <si>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</si>
  <si>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</si>
  <si>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</si>
  <si>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</si>
  <si>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</si>
  <si>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</si>
  <si>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</si>
  <si>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</si>
  <si>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</si>
  <si>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</si>
  <si>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</si>
  <si>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</si>
  <si>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</si>
  <si>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</si>
  <si>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</si>
  <si>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</si>
  <si>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</si>
  <si>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</si>
  <si>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</si>
  <si>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</si>
  <si>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</si>
  <si>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</si>
  <si>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</si>
  <si>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</si>
  <si>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</si>
  <si>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</si>
  <si>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</si>
  <si>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</si>
  <si>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</si>
  <si>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</si>
  <si>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</si>
  <si>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</si>
  <si>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</si>
  <si>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</si>
  <si>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</si>
  <si>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</si>
  <si>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</si>
  <si>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</si>
  <si>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</si>
  <si>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</si>
  <si>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</si>
  <si>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</si>
  <si>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</si>
  <si>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</si>
  <si>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</si>
  <si>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</si>
  <si>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</si>
  <si>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</si>
  <si>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</si>
  <si>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</si>
  <si>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</si>
  <si>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</si>
  <si>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</si>
  <si>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</si>
  <si>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</si>
  <si>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</si>
  <si>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</si>
  <si>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</si>
  <si>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</si>
  <si>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</si>
  <si>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</si>
  <si>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</si>
  <si>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</si>
  <si>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</si>
  <si>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</si>
  <si>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</si>
  <si>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</si>
  <si>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</si>
  <si>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</si>
  <si>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</si>
  <si>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</si>
  <si>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</si>
  <si>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</si>
  <si>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</si>
  <si>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</si>
  <si>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</si>
  <si>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</si>
  <si>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</si>
  <si>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</si>
  <si>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</si>
  <si>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</si>
  <si>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</si>
  <si>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</si>
  <si>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</si>
  <si>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</si>
  <si>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</si>
  <si>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</si>
  <si>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</si>
  <si>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</si>
  <si>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</si>
  <si>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</si>
  <si>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</si>
  <si>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</si>
  <si>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</si>
  <si>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</si>
  <si>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</si>
  <si>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</si>
  <si>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</si>
  <si>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</si>
  <si>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</si>
  <si>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</si>
  <si>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</si>
  <si>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</si>
  <si>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</si>
  <si>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</si>
  <si>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</si>
  <si>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</si>
  <si>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</si>
  <si>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</si>
  <si>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</si>
  <si>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</si>
  <si>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</si>
  <si>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</si>
  <si>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</si>
  <si>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</si>
  <si>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</si>
  <si>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</si>
  <si>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</si>
  <si>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</si>
  <si>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</si>
  <si>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</si>
  <si>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</si>
  <si>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</si>
  <si>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</si>
  <si>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</si>
  <si>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</si>
  <si>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</si>
  <si>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</si>
  <si>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</si>
  <si>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</si>
  <si>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</si>
  <si>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</si>
  <si>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</si>
  <si>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</si>
  <si>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</si>
  <si>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</si>
  <si>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</si>
  <si>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</si>
  <si>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</si>
  <si>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</si>
  <si>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</si>
  <si>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</si>
  <si>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</si>
  <si>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</si>
  <si>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</si>
  <si>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</si>
  <si>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</si>
  <si>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</si>
  <si>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</si>
  <si>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</si>
  <si>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</si>
  <si>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</si>
  <si>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</si>
  <si>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</si>
  <si>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</si>
  <si>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</si>
  <si>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</si>
  <si>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</si>
  <si>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</si>
  <si>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</si>
  <si>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</si>
  <si>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</si>
  <si>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</si>
  <si>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</si>
  <si>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</si>
  <si>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</si>
  <si>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</si>
  <si>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</si>
  <si>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</si>
  <si>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</si>
  <si>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</si>
  <si>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</si>
  <si>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</si>
  <si>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</si>
  <si>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</si>
  <si>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</si>
  <si>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</si>
  <si>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</si>
  <si>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</si>
  <si>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</si>
  <si>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</si>
  <si>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</si>
  <si>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</si>
  <si>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</si>
  <si>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</si>
  <si>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</si>
  <si>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</si>
  <si>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</si>
  <si>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</si>
  <si>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</si>
  <si>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</si>
  <si>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</si>
  <si>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</si>
  <si>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</si>
  <si>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</si>
  <si>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</si>
  <si>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</si>
  <si>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</si>
  <si>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</si>
  <si>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</si>
  <si>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</si>
  <si>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</si>
  <si>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</si>
  <si>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</si>
  <si>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</si>
  <si>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</si>
  <si>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</si>
  <si>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</si>
  <si>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</si>
  <si>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</si>
  <si>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</si>
  <si>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</si>
  <si>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</si>
  <si>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</si>
  <si>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</si>
  <si>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</si>
  <si>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</si>
  <si>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</si>
  <si>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</si>
  <si>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</si>
  <si>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</si>
  <si>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</si>
  <si>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</si>
  <si>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</si>
  <si>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</si>
  <si>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</si>
  <si>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</si>
  <si>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</si>
  <si>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</si>
  <si>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</si>
  <si>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</si>
  <si>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</si>
  <si>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</si>
  <si>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</si>
  <si>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</si>
  <si>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</si>
  <si>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</si>
  <si>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</si>
  <si>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</si>
  <si>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</si>
  <si>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</si>
  <si>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</si>
  <si>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</si>
  <si>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</si>
  <si>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</si>
  <si>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</si>
  <si>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</si>
  <si>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</si>
  <si>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</si>
  <si>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</si>
  <si>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</si>
  <si>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</si>
  <si>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</si>
  <si>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</si>
  <si>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</si>
  <si>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</si>
  <si>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</si>
  <si>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</si>
  <si>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</si>
  <si>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</si>
  <si>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</si>
  <si>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</si>
  <si>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</si>
  <si>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</si>
  <si>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</si>
  <si>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</si>
  <si>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</si>
  <si>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</si>
  <si>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</si>
  <si>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</si>
  <si>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</si>
  <si>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</si>
  <si>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</si>
  <si>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</si>
  <si>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</si>
  <si>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</si>
  <si>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</si>
  <si>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</si>
  <si>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</si>
  <si>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</si>
  <si>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</si>
  <si>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</si>
  <si>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</si>
  <si>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</si>
  <si>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</si>
  <si>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</si>
  <si>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</si>
  <si>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</si>
  <si>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</si>
  <si>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</si>
  <si>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</si>
  <si>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</si>
  <si>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</si>
  <si>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</si>
  <si>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</si>
  <si>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</si>
  <si>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</si>
  <si>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</si>
  <si>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</si>
  <si>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</si>
  <si>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</si>
  <si>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</si>
  <si>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</si>
  <si>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</si>
  <si>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</si>
  <si>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</si>
  <si>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</si>
  <si>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</si>
  <si>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</si>
  <si>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</si>
  <si>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</si>
  <si>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</si>
  <si>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</si>
  <si>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</si>
  <si>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</si>
  <si>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</si>
  <si>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</si>
  <si>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</si>
  <si>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</si>
  <si>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</si>
  <si>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</si>
  <si>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</si>
  <si>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</si>
  <si>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</si>
  <si>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</si>
  <si>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</si>
  <si>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</si>
  <si>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</si>
  <si>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</si>
  <si>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</si>
  <si>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</si>
  <si>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</si>
  <si>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</si>
  <si>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</si>
  <si>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</si>
  <si>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</si>
  <si>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</si>
  <si>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</si>
  <si>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</si>
  <si>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</si>
  <si>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</si>
  <si>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</si>
  <si>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</si>
  <si>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</si>
  <si>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</si>
  <si>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</si>
  <si>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</si>
  <si>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</si>
  <si>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</si>
  <si>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</si>
  <si>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</si>
  <si>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</si>
  <si>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</si>
  <si>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</si>
  <si>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</si>
  <si>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</si>
  <si>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</si>
  <si>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</si>
  <si>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</si>
  <si>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</si>
  <si>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</si>
  <si>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</si>
  <si>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</si>
  <si>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</si>
  <si>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</si>
  <si>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</si>
  <si>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</si>
  <si>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</si>
  <si>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</si>
  <si>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</si>
  <si>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</si>
  <si>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</si>
  <si>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</si>
  <si>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</si>
  <si>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</si>
  <si>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</si>
  <si>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</si>
  <si>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</si>
  <si>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</si>
  <si>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</si>
  <si>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</si>
  <si>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</si>
  <si>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</si>
  <si>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</si>
  <si>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</si>
  <si>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</si>
  <si>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</si>
  <si>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</si>
  <si>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</si>
  <si>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</si>
  <si>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</si>
  <si>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</si>
  <si>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</si>
  <si>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</si>
  <si>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</si>
  <si>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</si>
  <si>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</si>
  <si>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</si>
  <si>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</si>
  <si>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</si>
  <si>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</si>
  <si>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</si>
  <si>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</si>
  <si>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</si>
  <si>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</si>
  <si>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</si>
  <si>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</si>
  <si>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</si>
  <si>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</si>
  <si>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</si>
  <si>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</si>
  <si>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</si>
  <si>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</si>
  <si>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</si>
  <si>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</si>
  <si>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</si>
  <si>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</si>
  <si>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</si>
  <si>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</si>
  <si>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</si>
  <si>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</si>
  <si>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</si>
  <si>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</si>
  <si>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</si>
  <si>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</si>
  <si>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</si>
  <si>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</si>
  <si>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</si>
  <si>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</si>
  <si>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</si>
  <si>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</si>
  <si>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</si>
  <si>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</si>
  <si>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</si>
  <si>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</si>
  <si>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</si>
  <si>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</si>
  <si>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</si>
  <si>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</si>
  <si>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</si>
  <si>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</si>
  <si>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</si>
  <si>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</si>
  <si>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</si>
  <si>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</si>
  <si>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</si>
  <si>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</si>
  <si>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</si>
  <si>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</si>
  <si>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</si>
  <si>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</si>
  <si>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</si>
  <si>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</si>
  <si>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</si>
  <si>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</si>
  <si>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</si>
  <si>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</si>
  <si>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</si>
  <si>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</si>
  <si>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</si>
  <si>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</si>
  <si>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</si>
  <si>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</si>
  <si>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</si>
  <si>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</si>
  <si>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</si>
  <si>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</si>
  <si>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</si>
  <si>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</si>
  <si>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</si>
  <si>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</si>
  <si>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</si>
  <si>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</si>
  <si>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</si>
  <si>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</si>
  <si>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</si>
  <si>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</si>
  <si>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</si>
  <si>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</si>
  <si>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</si>
  <si>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</si>
  <si>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</si>
  <si>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</si>
  <si>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</si>
  <si>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</si>
  <si>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</si>
  <si>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</si>
  <si>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</si>
  <si>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</si>
  <si>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</si>
  <si>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</si>
  <si>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</si>
  <si>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</si>
  <si>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</si>
  <si>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</si>
  <si>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</si>
  <si>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</si>
  <si>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</si>
  <si>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</si>
  <si>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</si>
  <si>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</si>
  <si>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</si>
  <si>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</si>
  <si>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</si>
  <si>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</si>
  <si>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</si>
  <si>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</si>
  <si>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</si>
  <si>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</si>
  <si>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</si>
  <si>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</si>
  <si>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</si>
  <si>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</si>
  <si>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</si>
  <si>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</si>
  <si>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</si>
  <si>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</si>
  <si>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</si>
  <si>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</si>
  <si>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</si>
  <si>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</si>
  <si>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</si>
  <si>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</si>
  <si>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</si>
  <si>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</si>
  <si>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</si>
  <si>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</si>
  <si>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</si>
  <si>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</si>
  <si>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</si>
  <si>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</si>
  <si>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</si>
  <si>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</si>
  <si>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</si>
  <si>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</si>
  <si>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</si>
  <si>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</si>
  <si>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</si>
  <si>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</si>
  <si>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</si>
  <si>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</si>
  <si>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</si>
  <si>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</si>
  <si>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</si>
  <si>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</si>
  <si>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</si>
  <si>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</si>
  <si>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</si>
  <si>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</si>
  <si>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</si>
  <si>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</si>
  <si>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</si>
  <si>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</si>
  <si>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</si>
  <si>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</si>
  <si>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</si>
  <si>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</si>
  <si>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</si>
  <si>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</si>
  <si>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</si>
  <si>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</si>
  <si>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</si>
  <si>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</si>
  <si>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</si>
  <si>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</si>
  <si>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</si>
  <si>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</si>
  <si>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</si>
  <si>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</si>
  <si>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</si>
  <si>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</si>
  <si>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</si>
  <si>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</si>
  <si>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</si>
  <si>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</si>
  <si>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</si>
  <si>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</si>
  <si>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</si>
  <si>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</si>
  <si>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</si>
  <si>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</si>
  <si>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</si>
  <si>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</si>
  <si>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</si>
  <si>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</si>
  <si>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</si>
  <si>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</si>
  <si>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</si>
  <si>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</si>
  <si>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</si>
  <si>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</si>
  <si>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</si>
  <si>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</si>
  <si>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</si>
  <si>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</si>
  <si>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</si>
  <si>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</si>
  <si>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</si>
  <si>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</si>
  <si>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</si>
  <si>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</si>
  <si>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</si>
  <si>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</si>
  <si>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</si>
  <si>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</si>
  <si>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</si>
  <si>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</si>
  <si>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</si>
  <si>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</si>
  <si>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</si>
  <si>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</si>
  <si>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</si>
  <si>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</si>
  <si>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</si>
  <si>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</si>
  <si>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</si>
  <si>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</si>
  <si>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</si>
  <si>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</si>
  <si>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</si>
  <si>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</si>
  <si>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</si>
  <si>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</si>
  <si>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</si>
  <si>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</si>
  <si>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</si>
  <si>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</si>
  <si>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</si>
  <si>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</si>
  <si>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</si>
  <si>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</si>
  <si>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</si>
  <si>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</si>
  <si>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</si>
  <si>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</si>
  <si>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</si>
  <si>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</si>
  <si>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</si>
  <si>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</si>
  <si>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</si>
  <si>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</si>
  <si>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</si>
  <si>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</si>
  <si>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</si>
  <si>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</si>
  <si>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</si>
  <si>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</si>
  <si>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</si>
  <si>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</si>
  <si>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</si>
  <si>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</si>
  <si>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</si>
  <si>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</si>
  <si>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</si>
  <si>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</si>
  <si>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</si>
  <si>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</si>
  <si>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</si>
  <si>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</si>
  <si>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</si>
  <si>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</si>
  <si>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</si>
  <si>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</si>
  <si>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</si>
  <si>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</si>
  <si>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</si>
  <si>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</si>
  <si>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</si>
  <si>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</si>
  <si>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</si>
  <si>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</si>
  <si>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</si>
  <si>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</si>
  <si>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</si>
  <si>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</si>
  <si>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</si>
  <si>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</si>
  <si>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</si>
  <si>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</si>
  <si>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</si>
  <si>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</si>
  <si>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</si>
  <si>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</si>
  <si>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</si>
  <si>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</si>
  <si>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</si>
  <si>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</si>
  <si>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</si>
  <si>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</si>
  <si>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</si>
  <si>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</si>
  <si>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</si>
  <si>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</si>
  <si>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</si>
  <si>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</si>
  <si>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</si>
  <si>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</si>
  <si>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</si>
  <si>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</si>
  <si>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</si>
  <si>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</si>
  <si>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</si>
  <si>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</si>
  <si>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</si>
  <si>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</si>
  <si>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</si>
  <si>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</si>
  <si>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</si>
  <si>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</si>
  <si>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</si>
  <si>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</si>
  <si>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</si>
  <si>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</si>
  <si>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</si>
  <si>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</si>
  <si>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</si>
  <si>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</si>
  <si>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</si>
  <si>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</si>
  <si>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</si>
  <si>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</si>
  <si>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</si>
  <si>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</si>
  <si>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</si>
  <si>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</si>
  <si>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</si>
  <si>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</si>
  <si>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</si>
  <si>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</si>
  <si>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</si>
  <si>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</si>
  <si>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</si>
  <si>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</si>
  <si>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</si>
  <si>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</si>
  <si>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</si>
  <si>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</si>
  <si>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</si>
  <si>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</si>
  <si>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</si>
  <si>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</si>
  <si>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</si>
  <si>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</si>
  <si>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</si>
  <si>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</si>
  <si>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</si>
  <si>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</si>
  <si>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</si>
  <si>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</si>
  <si>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</si>
  <si>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</si>
  <si>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</si>
  <si>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</si>
  <si>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</si>
  <si>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</si>
  <si>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</si>
  <si>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</si>
  <si>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</si>
  <si>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</si>
  <si>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</si>
  <si>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</si>
  <si>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</si>
  <si>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</si>
  <si>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</si>
  <si>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</si>
  <si>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</si>
  <si>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</si>
  <si>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</si>
  <si>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</si>
  <si>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</si>
  <si>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</si>
  <si>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</si>
  <si>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</si>
  <si>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</si>
  <si>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</si>
  <si>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</si>
  <si>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</si>
  <si>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</si>
  <si>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</si>
  <si>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</si>
  <si>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</si>
  <si>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</si>
  <si>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</si>
  <si>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</si>
  <si>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</si>
  <si>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</si>
  <si>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</si>
  <si>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</si>
  <si>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</si>
  <si>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</si>
  <si>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</si>
  <si>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</si>
  <si>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</si>
  <si>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</si>
  <si>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</si>
  <si>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</si>
  <si>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</si>
  <si>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</si>
  <si>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</si>
  <si>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</si>
  <si>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</si>
  <si>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</si>
  <si>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</si>
  <si>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</si>
  <si>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</si>
  <si>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</si>
  <si>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</si>
  <si>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</si>
  <si>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</si>
  <si>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</si>
  <si>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</si>
  <si>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</si>
  <si>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</si>
  <si>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</si>
  <si>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</si>
  <si>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</si>
  <si>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</si>
  <si>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</si>
  <si>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</si>
  <si>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</si>
  <si>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</si>
  <si>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</si>
  <si>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</si>
  <si>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</si>
  <si>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</si>
  <si>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</si>
  <si>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</si>
  <si>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</si>
  <si>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</si>
  <si>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</si>
  <si>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</si>
  <si>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</si>
  <si>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</si>
  <si>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</si>
  <si>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</si>
  <si>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</si>
  <si>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</si>
  <si>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</si>
  <si>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</si>
  <si>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</si>
  <si>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</si>
  <si>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</si>
  <si>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</si>
  <si>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</si>
  <si>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</si>
  <si>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</si>
  <si>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</si>
  <si>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</si>
  <si>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</si>
  <si>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</si>
  <si>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</si>
  <si>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</si>
  <si>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</si>
  <si>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</si>
  <si>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</si>
  <si>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</si>
  <si>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</si>
  <si>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</si>
  <si>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</si>
  <si>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</si>
  <si>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</si>
  <si>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</si>
  <si>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</si>
  <si>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</si>
  <si>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</si>
  <si>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</si>
  <si>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</si>
  <si>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</si>
  <si>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</si>
  <si>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</si>
  <si>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</si>
  <si>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</si>
  <si>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</si>
  <si>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</si>
  <si>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</si>
  <si>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</si>
  <si>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</si>
  <si>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</si>
  <si>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</si>
  <si>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</si>
  <si>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</si>
  <si>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</si>
  <si>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</si>
  <si>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</si>
  <si>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</si>
  <si>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</si>
  <si>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</si>
  <si>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</si>
  <si>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</si>
  <si>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</si>
  <si>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</si>
  <si>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</si>
  <si>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</si>
  <si>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</si>
  <si>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</si>
  <si>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</si>
  <si>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</si>
  <si>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</si>
  <si>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</si>
  <si>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</si>
  <si>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</si>
  <si>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</si>
  <si>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</si>
  <si>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</si>
  <si>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</si>
  <si>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</si>
  <si>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</si>
  <si>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</si>
  <si>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</si>
  <si>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</si>
  <si>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</si>
  <si>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</si>
  <si>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</si>
  <si>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</si>
  <si>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</si>
  <si>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</si>
  <si>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</si>
  <si>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</si>
  <si>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</si>
  <si>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</si>
  <si>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</si>
  <si>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</si>
  <si>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</si>
  <si>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</si>
  <si>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</si>
  <si>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</si>
  <si>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</si>
  <si>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</si>
  <si>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</si>
  <si>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</si>
  <si>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</si>
  <si>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</si>
  <si>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</si>
  <si>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</si>
  <si>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</si>
  <si>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</si>
  <si>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</si>
  <si>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</si>
  <si>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</si>
  <si>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</si>
  <si>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</si>
  <si>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</si>
  <si>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</si>
  <si>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</si>
  <si>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</si>
  <si>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</si>
  <si>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</si>
  <si>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</si>
  <si>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</si>
  <si>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</si>
  <si>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</si>
  <si>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</si>
  <si>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</si>
  <si>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</si>
  <si>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</si>
  <si>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</si>
  <si>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</si>
  <si>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</si>
  <si>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</si>
  <si>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</si>
  <si>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</si>
  <si>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</si>
  <si>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</si>
  <si>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</si>
  <si>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</si>
  <si>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</si>
  <si>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</si>
  <si>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</si>
  <si>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</si>
  <si>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</si>
  <si>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</si>
  <si>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</si>
  <si>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</si>
  <si>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</si>
  <si>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</si>
  <si>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</si>
  <si>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</si>
  <si>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</si>
  <si>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</si>
  <si>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</si>
  <si>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</si>
  <si>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</si>
  <si>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</si>
  <si>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</si>
  <si>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</si>
  <si>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</si>
  <si>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</si>
  <si>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</si>
  <si>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</si>
  <si>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</si>
  <si>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</si>
  <si>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</si>
  <si>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</si>
  <si>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</si>
  <si>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</si>
  <si>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</si>
  <si>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</si>
  <si>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</si>
  <si>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</si>
  <si>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</si>
  <si>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</si>
  <si>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</si>
  <si>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</si>
  <si>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</si>
  <si>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</si>
  <si>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</si>
  <si>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</si>
  <si>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</si>
  <si>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</si>
  <si>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</si>
  <si>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</si>
  <si>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</si>
  <si>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</si>
  <si>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</si>
  <si>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</si>
  <si>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</si>
  <si>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</si>
  <si>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</si>
  <si>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</si>
  <si>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</si>
  <si>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</si>
  <si>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</si>
  <si>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</si>
  <si>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</si>
  <si>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</si>
  <si>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</si>
  <si>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</si>
  <si>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</si>
  <si>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</si>
  <si>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</si>
  <si>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</si>
  <si>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</si>
  <si>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</si>
  <si>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</si>
  <si>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</si>
  <si>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</si>
  <si>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</si>
  <si>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</si>
  <si>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</si>
  <si>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</si>
  <si>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</si>
  <si>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</si>
  <si>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</si>
  <si>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</si>
  <si>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</si>
  <si>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</si>
  <si>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</si>
  <si>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</si>
  <si>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</si>
  <si>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</si>
  <si>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</si>
  <si>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</si>
  <si>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</si>
  <si>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</si>
  <si>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</si>
  <si>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</si>
  <si>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</si>
  <si>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</si>
  <si>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</si>
  <si>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</si>
  <si>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</si>
  <si>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</si>
  <si>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</si>
  <si>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</si>
  <si>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</si>
  <si>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</si>
  <si>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</si>
  <si>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</si>
  <si>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</si>
  <si>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</si>
  <si>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</si>
  <si>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</si>
  <si>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</si>
  <si>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</si>
  <si>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</si>
  <si>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</si>
  <si>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</si>
  <si>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</si>
  <si>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</si>
  <si>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</si>
  <si>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</si>
  <si>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</si>
  <si>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</si>
  <si>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</si>
  <si>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</si>
  <si>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</si>
  <si>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</si>
  <si>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</si>
  <si>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</si>
  <si>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</si>
  <si>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</si>
  <si>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</si>
  <si>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</si>
  <si>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</si>
  <si>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</si>
  <si>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</si>
  <si>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</si>
  <si>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</si>
  <si>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</si>
  <si>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</si>
  <si>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</si>
  <si>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</si>
  <si>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</si>
  <si>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</si>
  <si>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</si>
  <si>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</si>
  <si>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</si>
  <si>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</si>
  <si>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</si>
  <si>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</si>
  <si>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</si>
  <si>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</si>
  <si>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</si>
  <si>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</si>
  <si>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</si>
  <si>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</si>
  <si>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</si>
  <si>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</si>
  <si>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</si>
  <si>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</si>
  <si>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</si>
  <si>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</si>
  <si>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</si>
  <si>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</si>
  <si>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</si>
  <si>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</si>
  <si>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</si>
  <si>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</si>
  <si>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</si>
  <si>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</si>
  <si>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</si>
  <si>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</si>
  <si>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</si>
  <si>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</si>
  <si>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</si>
  <si>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</si>
  <si>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</si>
  <si>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</si>
  <si>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</si>
  <si>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</si>
  <si>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</si>
  <si>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</si>
  <si>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</si>
  <si>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</si>
  <si>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</si>
  <si>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</si>
  <si>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</si>
  <si>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</si>
  <si>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</si>
  <si>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</si>
  <si>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</si>
  <si>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</si>
  <si>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</si>
  <si>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</si>
  <si>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</si>
  <si>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</si>
  <si>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</si>
  <si>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</si>
  <si>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</si>
  <si>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</si>
  <si>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</si>
  <si>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</si>
  <si>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</si>
  <si>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</si>
  <si>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</si>
  <si>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</si>
  <si>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</si>
  <si>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</si>
  <si>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</si>
  <si>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</si>
  <si>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</si>
  <si>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</si>
  <si>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</si>
  <si>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</si>
  <si>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</si>
  <si>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</si>
  <si>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</si>
  <si>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</si>
  <si>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</si>
  <si>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</si>
  <si>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</si>
  <si>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</si>
  <si>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</si>
  <si>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</si>
  <si>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</si>
  <si>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</si>
  <si>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</si>
  <si>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</si>
  <si>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</si>
  <si>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</si>
  <si>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</si>
  <si>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</si>
  <si>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</si>
  <si>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</si>
  <si>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</si>
  <si>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</si>
  <si>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</si>
  <si>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</si>
  <si>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</si>
  <si>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</si>
  <si>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</si>
  <si>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</si>
  <si>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</si>
  <si>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</si>
  <si>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</si>
  <si>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</si>
  <si>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</si>
  <si>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</si>
  <si>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</si>
  <si>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</si>
  <si>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</si>
  <si>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</si>
  <si>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</si>
  <si>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</si>
  <si>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</si>
  <si>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</si>
  <si>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</si>
  <si>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</si>
  <si>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</si>
  <si>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</si>
  <si>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</si>
  <si>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</si>
  <si>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</si>
  <si>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</si>
  <si>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</si>
  <si>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</si>
  <si>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</si>
  <si>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</si>
  <si>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</si>
  <si>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</si>
  <si>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</si>
  <si>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</si>
  <si>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</si>
  <si>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</si>
  <si>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</si>
  <si>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</si>
  <si>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</si>
  <si>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</si>
  <si>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</si>
  <si>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</si>
  <si>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</si>
  <si>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</si>
  <si>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</si>
  <si>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</si>
  <si>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</si>
  <si>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</si>
  <si>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</si>
  <si>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</si>
  <si>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</si>
  <si>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</si>
  <si>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</si>
  <si>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</si>
  <si>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</si>
  <si>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</si>
  <si>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</si>
  <si>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</si>
  <si>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</si>
  <si>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</si>
  <si>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</si>
  <si>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</si>
  <si>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</si>
  <si>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</si>
  <si>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</si>
  <si>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</si>
  <si>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</si>
  <si>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</si>
  <si>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</si>
  <si>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</si>
  <si>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</si>
  <si>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</si>
  <si>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</si>
  <si>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</si>
  <si>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</si>
  <si>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</si>
  <si>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</si>
  <si>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</si>
  <si>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</si>
  <si>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</si>
  <si>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</si>
  <si>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</si>
  <si>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</si>
  <si>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</si>
  <si>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</si>
  <si>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</si>
  <si>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</si>
  <si>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</si>
  <si>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</si>
  <si>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</si>
  <si>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</si>
  <si>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</si>
  <si>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</si>
  <si>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</si>
  <si>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</si>
  <si>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</si>
  <si>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</si>
  <si>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</si>
  <si>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</si>
  <si>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</si>
  <si>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</si>
  <si>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</si>
  <si>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</si>
  <si>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</si>
  <si>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</si>
  <si>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</si>
  <si>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</si>
  <si>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</si>
  <si>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</si>
  <si>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</si>
  <si>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</si>
  <si>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</si>
  <si>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</si>
  <si>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</si>
  <si>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</si>
  <si>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</si>
  <si>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</si>
  <si>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</si>
  <si>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</si>
  <si>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</si>
  <si>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</si>
  <si>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</si>
  <si>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</si>
  <si>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</si>
  <si>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</si>
  <si>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</si>
  <si>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</si>
  <si>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</si>
  <si>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</si>
  <si>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</si>
  <si>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</si>
  <si>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</si>
  <si>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</si>
  <si>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</si>
  <si>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</si>
  <si>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</si>
  <si>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</si>
  <si>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</si>
  <si>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</si>
  <si>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</si>
  <si>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</si>
  <si>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</si>
  <si>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</si>
  <si>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</si>
  <si>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</si>
  <si>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</si>
  <si>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</si>
  <si>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</si>
  <si>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</si>
  <si>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</si>
  <si>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</si>
  <si>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</si>
  <si>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</si>
  <si>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</si>
  <si>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</si>
  <si>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</si>
  <si>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</si>
  <si>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</si>
  <si>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</si>
  <si>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</si>
  <si>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</si>
  <si>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</si>
  <si>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</si>
  <si>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</si>
  <si>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</si>
  <si>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</si>
  <si>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</si>
  <si>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</si>
  <si>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</si>
  <si>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</si>
  <si>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</si>
  <si>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</si>
  <si>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</si>
  <si>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</si>
  <si>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</si>
  <si>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</si>
  <si>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</si>
  <si>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</si>
  <si>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</si>
  <si>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</si>
  <si>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</si>
  <si>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</si>
  <si>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</si>
  <si>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</si>
  <si>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</si>
  <si>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</si>
  <si>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</si>
  <si>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</si>
  <si>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</si>
  <si>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</si>
  <si>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</si>
  <si>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</si>
  <si>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</si>
  <si>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</si>
  <si>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</si>
  <si>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</si>
  <si>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</si>
  <si>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</si>
  <si>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</si>
  <si>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</si>
  <si>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</si>
  <si>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</si>
  <si>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</si>
  <si>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</si>
  <si>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</si>
  <si>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</si>
  <si>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</si>
  <si>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</si>
  <si>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</si>
  <si>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</si>
  <si>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</si>
  <si>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</si>
  <si>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</si>
  <si>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</si>
  <si>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</si>
  <si>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</si>
  <si>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</si>
  <si>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</si>
  <si>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</si>
  <si>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</si>
  <si>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</si>
  <si>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</si>
  <si>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</si>
  <si>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</si>
  <si>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</si>
  <si>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</si>
  <si>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</si>
  <si>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</si>
  <si>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</si>
  <si>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</si>
  <si>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</si>
  <si>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</si>
  <si>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</si>
  <si>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</si>
  <si>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</si>
  <si>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</si>
  <si>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</si>
  <si>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</si>
  <si>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</si>
  <si>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</si>
  <si>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</si>
  <si>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</si>
  <si>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</si>
  <si>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</si>
  <si>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</si>
  <si>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</si>
  <si>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</si>
  <si>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</si>
  <si>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</si>
  <si>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</si>
  <si>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</si>
  <si>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</si>
  <si>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</si>
  <si>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</si>
  <si>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</si>
  <si>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</si>
  <si>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</si>
  <si>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</si>
  <si>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</si>
  <si>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</si>
  <si>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</si>
  <si>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</si>
  <si>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</si>
  <si>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</si>
  <si>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</si>
  <si>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</si>
  <si>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</si>
  <si>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</si>
  <si>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</si>
  <si>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</si>
  <si>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</si>
  <si>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</si>
  <si>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</si>
  <si>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</si>
  <si>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</si>
  <si>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</si>
  <si>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</si>
  <si>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</si>
  <si>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</si>
  <si>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</si>
  <si>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</si>
  <si>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</si>
  <si>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</si>
  <si>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</si>
  <si>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</si>
  <si>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</si>
  <si>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</si>
  <si>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</si>
  <si>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</si>
  <si>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</si>
  <si>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</si>
  <si>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</si>
  <si>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</si>
  <si>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</si>
  <si>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</si>
  <si>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</si>
  <si>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</si>
  <si>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</si>
  <si>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</si>
  <si>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</si>
  <si>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</si>
  <si>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</si>
  <si>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</si>
  <si>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</si>
  <si>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</si>
  <si>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</si>
  <si>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</si>
  <si>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</si>
  <si>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</si>
  <si>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</si>
  <si>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</si>
  <si>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</si>
  <si>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</si>
  <si>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</si>
  <si>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</si>
  <si>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</si>
  <si>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</si>
  <si>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</si>
  <si>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</si>
  <si>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</si>
  <si>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</si>
  <si>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</si>
  <si>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</si>
  <si>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</si>
  <si>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</si>
  <si>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</si>
  <si>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</si>
  <si>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</si>
  <si>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</si>
  <si>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</si>
  <si>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</si>
  <si>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</si>
  <si>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</si>
  <si>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</si>
  <si>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</si>
  <si>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</si>
  <si>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</si>
  <si>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</si>
  <si>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</si>
  <si>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</si>
  <si>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</si>
  <si>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</si>
  <si>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</si>
  <si>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</si>
  <si>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</si>
  <si>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</si>
  <si>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</si>
  <si>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</si>
  <si>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</si>
  <si>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</si>
  <si>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</si>
  <si>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</si>
  <si>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</si>
  <si>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</si>
  <si>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</si>
  <si>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</si>
  <si>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</si>
  <si>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</si>
  <si>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</si>
  <si>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</si>
  <si>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</si>
  <si>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</si>
  <si>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</si>
  <si>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</si>
  <si>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</si>
  <si>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</si>
  <si>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</si>
  <si>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</si>
  <si>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</si>
  <si>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</si>
  <si>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</si>
  <si>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</si>
  <si>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</si>
  <si>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</si>
  <si>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</si>
  <si>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</si>
  <si>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</si>
  <si>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</si>
  <si>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</si>
  <si>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</si>
  <si>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</si>
  <si>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</si>
  <si>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</si>
  <si>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</si>
  <si>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</si>
  <si>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</si>
  <si>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</si>
  <si>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</si>
  <si>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</si>
  <si>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</si>
  <si>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</si>
  <si>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</si>
  <si>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</si>
  <si>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</si>
  <si>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</si>
  <si>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</si>
  <si>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</si>
  <si>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</si>
  <si>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</si>
  <si>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</si>
  <si>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</si>
  <si>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</si>
  <si>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</si>
  <si>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</si>
  <si>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</si>
  <si>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</si>
  <si>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</si>
  <si>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</si>
  <si>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</si>
  <si>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</si>
  <si>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</si>
  <si>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</si>
  <si>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</si>
  <si>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</si>
  <si>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</si>
  <si>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</si>
  <si>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</si>
  <si>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</si>
  <si>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</si>
  <si>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</si>
  <si>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</si>
  <si>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</si>
  <si>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</si>
  <si>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</si>
  <si>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</si>
  <si>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</si>
  <si>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</si>
  <si>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</si>
  <si>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</si>
  <si>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</si>
  <si>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</si>
  <si>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</si>
  <si>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</si>
  <si>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</si>
  <si>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</si>
  <si>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</si>
  <si>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</si>
  <si>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</si>
  <si>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</si>
  <si>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</si>
  <si>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</si>
  <si>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</si>
  <si>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</si>
  <si>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</si>
  <si>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</si>
  <si>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</si>
  <si>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</si>
  <si>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</si>
  <si>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</si>
  <si>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</si>
  <si>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</si>
  <si>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</si>
  <si>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</si>
  <si>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</si>
  <si>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</si>
  <si>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</si>
  <si>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</si>
  <si>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</si>
  <si>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</si>
  <si>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</si>
  <si>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</si>
  <si>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</si>
  <si>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</si>
  <si>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</si>
  <si>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</si>
  <si>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</si>
  <si>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</si>
  <si>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</si>
  <si>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</si>
  <si>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</si>
  <si>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</si>
  <si>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</si>
  <si>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</si>
  <si>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</si>
  <si>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</si>
  <si>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</si>
  <si>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</si>
  <si>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</si>
  <si>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</si>
  <si>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</si>
  <si>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</si>
  <si>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</si>
  <si>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</si>
  <si>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</si>
  <si>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</si>
  <si>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</si>
  <si>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</si>
  <si>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</si>
  <si>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</si>
  <si>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</si>
  <si>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</si>
  <si>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</si>
  <si>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</si>
  <si>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</si>
  <si>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</si>
  <si>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</si>
  <si>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</si>
  <si>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</si>
  <si>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</si>
  <si>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</si>
  <si>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</si>
  <si>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</si>
  <si>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</si>
  <si>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</si>
  <si>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</si>
  <si>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</si>
  <si>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</si>
  <si>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</si>
  <si>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</si>
  <si>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</si>
  <si>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</si>
  <si>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</si>
  <si>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</si>
  <si>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</si>
  <si>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</si>
  <si>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</si>
  <si>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</si>
  <si>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</si>
  <si>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</si>
  <si>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</si>
  <si>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</si>
  <si>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</si>
  <si>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</si>
  <si>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</si>
  <si>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</si>
  <si>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</si>
  <si>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</si>
  <si>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</si>
  <si>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</si>
  <si>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</si>
  <si>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</si>
  <si>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</si>
  <si>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</si>
  <si>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</si>
  <si>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</si>
  <si>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</si>
  <si>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</si>
  <si>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</si>
  <si>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</si>
  <si>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</si>
  <si>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</si>
  <si>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</si>
  <si>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</si>
  <si>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</si>
  <si>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</si>
  <si>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</si>
  <si>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</si>
  <si>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</si>
  <si>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</si>
  <si>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</si>
  <si>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</si>
  <si>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</si>
  <si>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</si>
  <si>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</si>
  <si>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</si>
  <si>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</si>
  <si>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</si>
  <si>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</si>
  <si>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</si>
  <si>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</si>
  <si>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</si>
  <si>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</si>
  <si>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</si>
  <si>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</si>
  <si>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</si>
  <si>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</si>
  <si>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</si>
  <si>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</si>
  <si>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</si>
  <si>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</si>
  <si>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</si>
  <si>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</si>
  <si>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</si>
  <si>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</si>
  <si>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</si>
  <si>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</si>
  <si>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</si>
  <si>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</si>
  <si>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</si>
  <si>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</si>
  <si>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</si>
  <si>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</si>
  <si>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</si>
  <si>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</si>
  <si>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</si>
  <si>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</si>
  <si>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</si>
  <si>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</si>
  <si>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</si>
  <si>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</si>
  <si>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</si>
  <si>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</si>
  <si>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</si>
  <si>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</si>
  <si>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</si>
  <si>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</si>
  <si>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</si>
  <si>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</si>
  <si>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</si>
  <si>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</si>
  <si>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</si>
  <si>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</si>
  <si>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</si>
  <si>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</si>
  <si>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</si>
  <si>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</si>
  <si>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</si>
  <si>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</si>
  <si>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</si>
  <si>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</si>
  <si>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</si>
  <si>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</si>
  <si>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</si>
  <si>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</si>
  <si>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</si>
  <si>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</si>
  <si>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</si>
  <si>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</si>
  <si>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</si>
  <si>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</si>
  <si>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</si>
  <si>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</si>
  <si>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</si>
  <si>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</si>
  <si>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</si>
  <si>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</si>
  <si>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</si>
  <si>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</si>
  <si>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</si>
  <si>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</si>
  <si>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</si>
  <si>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</si>
  <si>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</si>
  <si>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</si>
  <si>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</si>
  <si>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</si>
  <si>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</si>
  <si>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</si>
  <si>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</si>
  <si>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</si>
  <si>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</si>
  <si>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</si>
  <si>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</si>
  <si>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</si>
  <si>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</si>
  <si>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</si>
  <si>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</si>
  <si>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</si>
  <si>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</si>
  <si>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</si>
  <si>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</si>
  <si>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</si>
  <si>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</si>
  <si>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</si>
  <si>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</si>
  <si>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</si>
  <si>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</si>
  <si>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</si>
  <si>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</si>
  <si>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</si>
  <si>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</si>
  <si>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</si>
  <si>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</si>
  <si>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</si>
  <si>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</si>
  <si>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</si>
  <si>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</si>
  <si>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</si>
  <si>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</si>
  <si>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</si>
  <si>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</si>
  <si>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</si>
  <si>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</si>
  <si>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</si>
  <si>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</si>
  <si>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</si>
  <si>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</si>
  <si>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</si>
  <si>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</si>
  <si>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</si>
  <si>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</si>
  <si>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</si>
  <si>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</si>
  <si>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</si>
  <si>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</si>
  <si>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</si>
  <si>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</si>
  <si>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</si>
  <si>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</si>
  <si>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</si>
  <si>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</si>
  <si>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</si>
  <si>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</si>
  <si>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</si>
  <si>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</si>
  <si>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</si>
  <si>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</si>
  <si>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</si>
  <si>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</si>
  <si>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</si>
  <si>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</si>
  <si>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</si>
  <si>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</si>
  <si>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</si>
  <si>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</si>
  <si>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</si>
  <si>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</si>
  <si>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</si>
  <si>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</si>
  <si>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</si>
  <si>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</si>
  <si>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</si>
  <si>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</si>
  <si>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</si>
  <si>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</si>
  <si>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</si>
  <si>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</si>
  <si>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</si>
  <si>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</si>
  <si>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</si>
  <si>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</si>
  <si>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</si>
  <si>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</si>
  <si>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</si>
  <si>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</si>
  <si>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</si>
  <si>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</si>
  <si>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</si>
  <si>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</si>
  <si>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</si>
  <si>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</si>
  <si>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</si>
  <si>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</si>
  <si>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</si>
  <si>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</si>
  <si>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</si>
  <si>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</si>
  <si>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</si>
  <si>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</si>
  <si>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</si>
  <si>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</si>
  <si>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</si>
  <si>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</si>
  <si>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</si>
  <si>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</si>
  <si>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</si>
  <si>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</si>
  <si>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</si>
  <si>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</si>
  <si>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</si>
  <si>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</si>
  <si>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</si>
  <si>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</si>
  <si>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</si>
  <si>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</si>
  <si>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</si>
  <si>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</si>
  <si>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</si>
  <si>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</si>
  <si>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</si>
  <si>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</si>
  <si>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</si>
  <si>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</si>
  <si>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</si>
  <si>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</si>
  <si>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</si>
  <si>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</si>
  <si>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</si>
  <si>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</si>
  <si>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</si>
  <si>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</si>
  <si>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</si>
  <si>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</si>
  <si>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</si>
  <si>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</si>
  <si>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</si>
  <si>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</si>
  <si>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</si>
  <si>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</si>
  <si>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</si>
  <si>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</si>
  <si>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</si>
  <si>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</si>
  <si>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</si>
  <si>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</si>
  <si>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</si>
  <si>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</si>
  <si>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</si>
  <si>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</si>
  <si>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</si>
  <si>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</si>
  <si>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</si>
  <si>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</si>
  <si>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</si>
  <si>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</si>
  <si>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</si>
  <si>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</si>
  <si>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</si>
  <si>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</si>
  <si>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</si>
  <si>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</si>
  <si>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</si>
  <si>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</si>
  <si>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</si>
  <si>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</si>
  <si>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</si>
  <si>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</si>
  <si>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</si>
  <si>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</si>
  <si>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</si>
  <si>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</si>
  <si>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</si>
  <si>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</si>
  <si>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</si>
  <si>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</si>
  <si>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</si>
  <si>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</si>
  <si>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</si>
  <si>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</si>
  <si>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</si>
  <si>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</si>
  <si>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</si>
  <si>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</si>
  <si>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</si>
  <si>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</si>
  <si>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</si>
  <si>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</si>
  <si>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</si>
  <si>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</si>
  <si>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</si>
  <si>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</si>
  <si>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</si>
  <si>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</si>
  <si>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</si>
  <si>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</si>
  <si>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</si>
  <si>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</si>
  <si>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</si>
  <si>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</si>
  <si>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</si>
  <si>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</si>
  <si>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</si>
  <si>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</si>
  <si>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</si>
  <si>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</si>
  <si>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</si>
  <si>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</si>
  <si>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</si>
  <si>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</si>
  <si>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</si>
  <si>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</si>
  <si>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</si>
  <si>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</si>
  <si>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</si>
  <si>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</si>
  <si>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</si>
  <si>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</si>
  <si>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</si>
  <si>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</si>
  <si>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</si>
  <si>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</si>
  <si>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</si>
  <si>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</si>
  <si>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</si>
  <si>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</si>
  <si>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</si>
  <si>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</si>
  <si>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</si>
  <si>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</si>
  <si>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</si>
  <si>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</si>
  <si>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</si>
  <si>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</si>
  <si>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</si>
  <si>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</si>
  <si>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</si>
  <si>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</si>
  <si>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</si>
  <si>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</si>
  <si>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</si>
  <si>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</si>
  <si>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</si>
  <si>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</si>
  <si>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</si>
  <si>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</si>
  <si>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</si>
  <si>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</si>
  <si>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</si>
  <si>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</si>
  <si>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</si>
  <si>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</si>
  <si>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</si>
  <si>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</si>
  <si>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</si>
  <si>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</si>
  <si>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</si>
  <si>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</si>
  <si>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</si>
  <si>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</si>
  <si>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</si>
  <si>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</si>
  <si>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</si>
  <si>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</si>
  <si>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</si>
  <si>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</si>
  <si>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</si>
  <si>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</si>
  <si>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</si>
  <si>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</si>
  <si>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</si>
  <si>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</si>
  <si>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</si>
  <si>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</si>
  <si>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</si>
  <si>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</si>
  <si>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</si>
  <si>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</si>
  <si>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</si>
  <si>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</si>
  <si>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</si>
  <si>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</si>
  <si>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</si>
  <si>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</si>
  <si>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</si>
  <si>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</si>
  <si>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</si>
  <si>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</si>
  <si>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</si>
  <si>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</si>
  <si>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</si>
  <si>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</si>
  <si>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</si>
  <si>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</si>
  <si>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</si>
  <si>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</si>
  <si>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</si>
  <si>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</si>
  <si>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</si>
  <si>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</si>
  <si>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</si>
  <si>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</si>
  <si>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</si>
  <si>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</si>
  <si>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</si>
  <si>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</si>
  <si>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</si>
  <si>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</si>
  <si>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</si>
  <si>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</si>
  <si>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</si>
  <si>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</si>
  <si>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</si>
  <si>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</si>
  <si>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</si>
  <si>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</si>
  <si>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</si>
  <si>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</si>
  <si>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</si>
  <si>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</si>
  <si>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</si>
  <si>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</si>
  <si>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</si>
  <si>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</si>
  <si>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</si>
  <si>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</si>
  <si>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</si>
  <si>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</si>
  <si>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</si>
  <si>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</si>
  <si>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</si>
  <si>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</si>
  <si>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</si>
  <si>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</si>
  <si>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</si>
  <si>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</si>
  <si>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</si>
  <si>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</si>
  <si>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</si>
  <si>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</si>
  <si>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</si>
  <si>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</si>
  <si>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</si>
  <si>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</si>
  <si>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</si>
  <si>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</si>
  <si>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</si>
  <si>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</si>
  <si>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</si>
  <si>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</si>
  <si>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</si>
  <si>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</si>
  <si>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</si>
  <si>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</si>
  <si>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</si>
  <si>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</si>
  <si>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</si>
  <si>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</si>
  <si>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</si>
  <si>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</si>
  <si>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</si>
  <si>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</si>
  <si>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</si>
  <si>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</si>
  <si>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</si>
  <si>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</si>
  <si>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</si>
  <si>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</si>
  <si>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</si>
  <si>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</si>
  <si>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</si>
  <si>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</si>
  <si>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</si>
  <si>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</si>
  <si>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</si>
  <si>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</si>
  <si>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</si>
  <si>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</si>
  <si>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</si>
  <si>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</si>
  <si>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</si>
  <si>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</si>
  <si>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</si>
  <si>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</si>
  <si>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</si>
  <si>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</si>
  <si>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</si>
  <si>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</si>
  <si>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</si>
  <si>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</si>
  <si>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</si>
  <si>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</si>
  <si>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</si>
  <si>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</si>
  <si>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</si>
  <si>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</si>
  <si>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</si>
  <si>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</si>
  <si>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</si>
  <si>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</si>
  <si>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</si>
  <si>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</si>
  <si>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</si>
  <si>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</si>
  <si>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</si>
  <si>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</si>
  <si>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</si>
  <si>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</si>
  <si>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</si>
  <si>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</si>
  <si>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</si>
  <si>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</si>
  <si>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</si>
  <si>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</si>
  <si>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</si>
  <si>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</si>
  <si>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</si>
  <si>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</si>
  <si>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</si>
  <si>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</si>
  <si>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</si>
  <si>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</si>
  <si>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</si>
  <si>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</si>
  <si>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</si>
  <si>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</si>
  <si>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</si>
  <si>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</si>
  <si>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</si>
  <si>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</si>
  <si>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</si>
  <si>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</si>
  <si>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</si>
  <si>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</si>
  <si>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</si>
  <si>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</si>
  <si>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</si>
  <si>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</si>
  <si>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</si>
  <si>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</si>
  <si>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</si>
  <si>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</si>
  <si>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</si>
  <si>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</si>
  <si>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</si>
  <si>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</si>
  <si>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</si>
  <si>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</si>
  <si>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</si>
  <si>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</si>
  <si>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</si>
  <si>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</si>
  <si>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</si>
  <si>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</si>
  <si>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</si>
  <si>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</si>
  <si>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</si>
  <si>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</si>
  <si>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</si>
  <si>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</si>
  <si>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</si>
  <si>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</si>
  <si>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</si>
  <si>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</si>
  <si>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</si>
  <si>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</si>
  <si>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</si>
  <si>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</si>
  <si>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</si>
  <si>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</si>
  <si>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</si>
  <si>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</si>
  <si>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</si>
  <si>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</si>
  <si>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</si>
  <si>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</si>
  <si>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</si>
  <si>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</si>
  <si>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</si>
  <si>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</si>
  <si>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</si>
  <si>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</si>
  <si>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</si>
  <si>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</si>
  <si>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</si>
  <si>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</si>
  <si>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</si>
  <si>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</si>
  <si>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</si>
  <si>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</si>
  <si>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</si>
  <si>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</si>
  <si>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</si>
  <si>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</si>
  <si>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</si>
  <si>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</si>
  <si>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</si>
  <si>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</si>
  <si>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</si>
  <si>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</si>
  <si>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</si>
  <si>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</si>
  <si>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</si>
  <si>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</si>
  <si>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</si>
  <si>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</si>
  <si>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</si>
  <si>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</si>
  <si>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</si>
  <si>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</si>
  <si>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</si>
  <si>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</si>
  <si>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</si>
  <si>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</si>
  <si>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</si>
  <si>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</si>
  <si>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</si>
  <si>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</si>
  <si>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</si>
  <si>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</si>
  <si>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</si>
  <si>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</si>
  <si>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</si>
  <si>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</si>
  <si>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</si>
  <si>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</si>
  <si>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</si>
  <si>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</si>
  <si>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</si>
  <si>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</si>
  <si>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</si>
  <si>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</si>
  <si>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</si>
  <si>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</si>
  <si>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</si>
  <si>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</si>
  <si>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</si>
  <si>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</si>
  <si>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</si>
  <si>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</si>
  <si>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</si>
  <si>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</si>
  <si>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</si>
  <si>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</si>
  <si>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</si>
  <si>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</si>
  <si>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</si>
  <si>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</si>
  <si>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</si>
  <si>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</si>
  <si>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</si>
  <si>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</si>
  <si>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</si>
  <si>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</si>
  <si>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</si>
  <si>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</si>
  <si>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</si>
  <si>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</si>
  <si>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</si>
  <si>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</si>
  <si>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</si>
  <si>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</si>
  <si>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</si>
  <si>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</si>
  <si>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</si>
  <si>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</si>
  <si>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</si>
  <si>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</si>
  <si>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</si>
  <si>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</si>
  <si>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</si>
  <si>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</si>
  <si>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</si>
  <si>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</si>
  <si>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</si>
  <si>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</si>
  <si>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</si>
  <si>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</si>
  <si>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</si>
  <si>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</si>
  <si>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</si>
  <si>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</si>
  <si>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</si>
  <si>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</si>
  <si>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</si>
  <si>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</si>
  <si>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</si>
  <si>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</si>
  <si>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</si>
  <si>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</si>
  <si>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</si>
  <si>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</si>
  <si>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</si>
  <si>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</si>
  <si>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</si>
  <si>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</si>
  <si>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</si>
  <si>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</si>
  <si>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</si>
  <si>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</si>
  <si>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</si>
  <si>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</si>
  <si>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</si>
  <si>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</si>
  <si>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</si>
  <si>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</si>
  <si>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</si>
  <si>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</si>
  <si>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</si>
  <si>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</si>
  <si>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</si>
  <si>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</si>
  <si>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</si>
  <si>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</si>
  <si>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</si>
  <si>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</si>
  <si>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</si>
  <si>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</si>
  <si>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</si>
  <si>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</si>
  <si>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</si>
  <si>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</si>
  <si>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</si>
  <si>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</si>
  <si>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</si>
  <si>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</si>
  <si>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</si>
  <si>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</si>
  <si>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</si>
  <si>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</si>
  <si>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</si>
  <si>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</si>
  <si>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</si>
  <si>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</si>
  <si>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</si>
  <si>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</si>
  <si>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</si>
  <si>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</si>
  <si>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</si>
  <si>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</si>
  <si>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</si>
  <si>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</si>
  <si>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</si>
  <si>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</si>
  <si>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</si>
  <si>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</si>
  <si>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</si>
  <si>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</si>
  <si>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</si>
  <si>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</si>
  <si>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</si>
  <si>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</si>
  <si>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</si>
  <si>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</si>
  <si>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</si>
  <si>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</si>
  <si>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</si>
  <si>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</si>
  <si>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</si>
  <si>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</si>
  <si>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</si>
  <si>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</si>
  <si>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</si>
  <si>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</si>
  <si>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</si>
  <si>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</si>
  <si>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</si>
  <si>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</si>
  <si>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</si>
  <si>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</si>
  <si>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</si>
  <si>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</si>
  <si>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</si>
  <si>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</si>
  <si>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</si>
  <si>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</si>
  <si>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</si>
  <si>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</si>
  <si>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</si>
  <si>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</si>
  <si>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</si>
  <si>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</si>
  <si>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</si>
  <si>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</si>
  <si>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</si>
  <si>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</si>
  <si>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</si>
  <si>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</si>
  <si>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</si>
  <si>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</si>
  <si>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</si>
  <si>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</si>
  <si>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</si>
  <si>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</si>
  <si>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</si>
  <si>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</si>
  <si>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</si>
  <si>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</si>
  <si>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</si>
  <si>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</si>
  <si>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</si>
  <si>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</si>
  <si>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</si>
  <si>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</si>
  <si>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</si>
  <si>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</si>
  <si>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</si>
  <si>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</si>
  <si>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</si>
  <si>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</si>
  <si>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</si>
  <si>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</si>
  <si>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</si>
  <si>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</si>
  <si>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</si>
  <si>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</si>
  <si>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</si>
  <si>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</si>
  <si>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</si>
  <si>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</si>
  <si>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</si>
  <si>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</si>
  <si>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</si>
  <si>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</si>
  <si>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</si>
  <si>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</si>
  <si>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</si>
  <si>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</si>
  <si>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</si>
  <si>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</si>
  <si>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</si>
  <si>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</si>
  <si>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</si>
  <si>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</si>
  <si>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</si>
  <si>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</si>
  <si>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</si>
  <si>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</si>
  <si>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</si>
  <si>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</si>
  <si>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</si>
  <si>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</si>
  <si>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</si>
  <si>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</si>
  <si>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</si>
  <si>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</si>
  <si>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</si>
  <si>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</si>
  <si>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</si>
  <si>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</si>
  <si>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</si>
  <si>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</si>
  <si>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</si>
  <si>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</si>
  <si>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</si>
  <si>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</si>
  <si>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</si>
  <si>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</si>
  <si>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</si>
  <si>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</si>
  <si>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</si>
  <si>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</si>
  <si>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</si>
  <si>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</si>
  <si>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</si>
  <si>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</si>
  <si>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</si>
  <si>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</si>
  <si>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</si>
  <si>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</si>
  <si>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</si>
  <si>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</si>
  <si>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</si>
  <si>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</si>
  <si>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</si>
  <si>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</si>
  <si>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</si>
  <si>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</si>
  <si>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</si>
  <si>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</si>
  <si>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</si>
  <si>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</si>
  <si>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</si>
  <si>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</si>
  <si>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</si>
  <si>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</si>
  <si>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</si>
  <si>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</si>
  <si>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</si>
  <si>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</si>
  <si>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</si>
  <si>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</si>
  <si>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</si>
  <si>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</si>
  <si>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</si>
  <si>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</si>
  <si>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</si>
  <si>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</si>
  <si>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</si>
  <si>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</si>
  <si>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</si>
  <si>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</si>
  <si>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</si>
  <si>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</si>
  <si>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</si>
  <si>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</si>
  <si>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</si>
  <si>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</si>
  <si>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</si>
  <si>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</si>
  <si>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</si>
  <si>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</si>
  <si>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</si>
  <si>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</si>
  <si>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</si>
  <si>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</si>
  <si>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</si>
  <si>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</si>
  <si>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</si>
  <si>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</si>
  <si>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</si>
  <si>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</si>
  <si>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</si>
  <si>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</si>
  <si>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</si>
  <si>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</si>
  <si>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</si>
  <si>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</si>
  <si>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</si>
  <si>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</si>
  <si>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</si>
  <si>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</si>
  <si>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</si>
  <si>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</si>
  <si>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</si>
  <si>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</si>
  <si>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</si>
  <si>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</si>
  <si>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</si>
  <si>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</si>
  <si>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</si>
  <si>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</si>
  <si>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</si>
  <si>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</si>
  <si>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</si>
  <si>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</si>
  <si>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</si>
  <si>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</si>
  <si>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</si>
  <si>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</si>
  <si>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</si>
  <si>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</si>
  <si>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</si>
  <si>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</si>
  <si>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</si>
  <si>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</si>
  <si>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</si>
  <si>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</si>
  <si>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</si>
  <si>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</si>
  <si>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</si>
  <si>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</si>
  <si>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</si>
  <si>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</si>
  <si>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</si>
  <si>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</si>
  <si>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</si>
  <si>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</si>
  <si>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</si>
  <si>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</si>
  <si>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</si>
  <si>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</si>
  <si>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</si>
  <si>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</si>
  <si>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</si>
  <si>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</si>
  <si>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</si>
  <si>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</si>
  <si>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</si>
  <si>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</si>
  <si>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</si>
  <si>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</si>
  <si>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</si>
  <si>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</si>
  <si>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</si>
  <si>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</si>
  <si>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</si>
  <si>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</si>
  <si>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</si>
  <si>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</si>
  <si>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</si>
  <si>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</si>
  <si>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</si>
  <si>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</si>
  <si>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</si>
  <si>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</si>
  <si>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</si>
  <si>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</si>
  <si>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</si>
  <si>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</si>
  <si>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</si>
  <si>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</si>
  <si>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</si>
  <si>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</si>
  <si>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</si>
  <si>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</si>
  <si>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</si>
  <si>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</si>
  <si>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</si>
  <si>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</si>
  <si>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</si>
  <si>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</si>
  <si>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</si>
  <si>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</si>
  <si>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</si>
  <si>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</si>
  <si>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</si>
  <si>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</si>
  <si>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</si>
  <si>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</si>
  <si>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</si>
  <si>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</si>
  <si>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</si>
  <si>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</si>
  <si>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</si>
  <si>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</si>
  <si>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</si>
  <si>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</si>
  <si>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</si>
  <si>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</si>
  <si>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</si>
  <si>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</si>
  <si>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</si>
  <si>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</si>
  <si>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</si>
  <si>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</si>
  <si>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</si>
  <si>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</si>
  <si>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</si>
  <si>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</si>
  <si>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</si>
  <si>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</si>
  <si>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</si>
  <si>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</si>
  <si>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</si>
  <si>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</si>
  <si>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</si>
  <si>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</si>
  <si>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</si>
  <si>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</si>
  <si>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</si>
  <si>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</si>
  <si>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</si>
  <si>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</si>
  <si>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</si>
  <si>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</si>
  <si>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</si>
  <si>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</si>
  <si>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</si>
  <si>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</si>
  <si>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</si>
  <si>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</si>
  <si>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</si>
  <si>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</si>
  <si>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</si>
  <si>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</si>
  <si>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</si>
  <si>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</si>
  <si>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</si>
  <si>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</si>
  <si>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</si>
  <si>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</si>
  <si>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</si>
  <si>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</si>
  <si>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</si>
  <si>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</si>
  <si>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</si>
  <si>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</si>
  <si>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</si>
  <si>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</si>
  <si>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</si>
  <si>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</si>
  <si>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</si>
  <si>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</si>
  <si>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</si>
  <si>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</si>
  <si>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</si>
  <si>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</si>
  <si>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</si>
  <si>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</si>
  <si>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</si>
  <si>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</si>
  <si>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</si>
  <si>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</si>
  <si>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</si>
  <si>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</si>
  <si>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</si>
  <si>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</si>
  <si>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</si>
  <si>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</si>
  <si>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</si>
  <si>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</si>
  <si>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</si>
  <si>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</si>
  <si>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</si>
  <si>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</si>
  <si>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</si>
  <si>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</si>
  <si>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</si>
  <si>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</si>
  <si>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</si>
  <si>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</si>
  <si>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</si>
  <si>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</si>
  <si>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</si>
  <si>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</si>
  <si>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</si>
  <si>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</si>
  <si>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</si>
  <si>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</si>
  <si>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</si>
  <si>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</si>
  <si>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</si>
  <si>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</si>
  <si>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</si>
  <si>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</si>
  <si>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</si>
  <si>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</si>
  <si>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</si>
  <si>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</si>
  <si>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</si>
  <si>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</si>
  <si>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</si>
  <si>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</si>
  <si>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</si>
  <si>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</si>
  <si>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</si>
  <si>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</si>
  <si>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</si>
  <si>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</si>
  <si>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</si>
  <si>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</si>
  <si>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</si>
  <si>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</si>
  <si>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</si>
  <si>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</si>
  <si>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</si>
  <si>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</si>
  <si>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</si>
  <si>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</si>
  <si>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</si>
  <si>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</si>
  <si>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</si>
  <si>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</si>
  <si>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</si>
  <si>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</si>
  <si>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</si>
  <si>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</si>
  <si>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</si>
  <si>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</si>
  <si>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</si>
  <si>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</si>
  <si>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</si>
  <si>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</si>
  <si>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</si>
  <si>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</si>
  <si>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</si>
  <si>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</si>
  <si>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</si>
  <si>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</si>
  <si>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</si>
  <si>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</si>
  <si>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</si>
  <si>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</si>
  <si>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</si>
  <si>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</si>
  <si>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</si>
  <si>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</si>
  <si>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</si>
  <si>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</si>
  <si>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</si>
  <si>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</si>
  <si>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</si>
  <si>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</si>
  <si>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</si>
  <si>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</si>
  <si>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</si>
  <si>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</si>
  <si>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</si>
  <si>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</si>
  <si>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</si>
  <si>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</si>
  <si>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</si>
  <si>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</si>
  <si>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</si>
  <si>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</si>
  <si>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</si>
  <si>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</si>
  <si>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</si>
  <si>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</si>
  <si>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</si>
  <si>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</si>
  <si>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</si>
  <si>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</si>
  <si>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</si>
  <si>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</si>
  <si>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</si>
  <si>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</si>
  <si>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</si>
  <si>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</si>
  <si>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</si>
  <si>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</si>
  <si>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</si>
  <si>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</si>
  <si>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</si>
  <si>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</si>
  <si>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</si>
  <si>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</si>
  <si>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</si>
  <si>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</si>
  <si>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</si>
  <si>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</si>
  <si>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</si>
  <si>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</si>
  <si>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</si>
  <si>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</si>
  <si>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</si>
  <si>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</si>
  <si>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</si>
  <si>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</si>
  <si>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</si>
  <si>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</si>
  <si>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</si>
  <si>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</si>
  <si>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</si>
  <si>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</si>
  <si>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</si>
  <si>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</si>
  <si>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</si>
  <si>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</si>
  <si>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</si>
  <si>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</si>
  <si>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</si>
  <si>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</si>
  <si>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</si>
  <si>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</si>
  <si>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</si>
  <si>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</si>
  <si>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</si>
  <si>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</si>
  <si>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</si>
  <si>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</si>
  <si>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</si>
  <si>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</si>
  <si>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</si>
  <si>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</si>
  <si>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</si>
  <si>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</si>
  <si>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</si>
  <si>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</si>
  <si>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</si>
  <si>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</si>
  <si>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</si>
  <si>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</si>
  <si>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</si>
  <si>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</si>
  <si>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</si>
  <si>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</si>
  <si>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</si>
  <si>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</si>
  <si>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</si>
  <si>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</si>
  <si>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</si>
  <si>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</si>
  <si>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</si>
  <si>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</si>
  <si>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</si>
  <si>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</si>
  <si>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</si>
  <si>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</si>
  <si>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</si>
  <si>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</si>
  <si>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</si>
  <si>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</si>
  <si>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</si>
  <si>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</si>
  <si>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</si>
  <si>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</si>
  <si>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</si>
  <si>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</si>
  <si>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</si>
  <si>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</si>
  <si>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</si>
  <si>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</si>
  <si>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</si>
  <si>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</si>
  <si>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</si>
  <si>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</si>
  <si>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</si>
  <si>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</si>
  <si>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</si>
  <si>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</si>
  <si>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</si>
  <si>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</si>
  <si>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</si>
  <si>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</si>
  <si>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</si>
  <si>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</si>
  <si>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</si>
  <si>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</si>
  <si>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</si>
  <si>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</si>
  <si>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</si>
  <si>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</si>
  <si>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</si>
  <si>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</si>
  <si>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</si>
  <si>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</si>
  <si>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</si>
  <si>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</si>
  <si>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</si>
  <si>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</si>
  <si>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</si>
  <si>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</si>
  <si>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</si>
  <si>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</si>
  <si>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</si>
  <si>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</si>
  <si>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</si>
  <si>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</si>
  <si>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</si>
  <si>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</si>
  <si>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</si>
  <si>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</si>
  <si>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</si>
  <si>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</si>
  <si>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</si>
  <si>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</si>
  <si>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</si>
  <si>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</si>
  <si>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</si>
  <si>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</si>
  <si>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</si>
  <si>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</si>
  <si>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</si>
  <si>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</si>
  <si>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</si>
  <si>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</si>
  <si>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</si>
  <si>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</si>
  <si>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</si>
  <si>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</si>
  <si>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</si>
  <si>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</si>
  <si>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</si>
  <si>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</si>
  <si>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</si>
  <si>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</si>
  <si>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</si>
  <si>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</si>
  <si>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</si>
  <si>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</si>
  <si>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</si>
  <si>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</si>
  <si>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</si>
  <si>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</si>
  <si>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</si>
  <si>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</si>
  <si>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</si>
  <si>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</si>
  <si>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</si>
  <si>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</si>
  <si>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</si>
  <si>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</si>
  <si>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</si>
  <si>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</si>
  <si>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</si>
  <si>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</si>
  <si>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</si>
  <si>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</si>
  <si>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</si>
  <si>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</si>
  <si>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</si>
  <si>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</si>
  <si>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</si>
  <si>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</si>
  <si>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</si>
  <si>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</si>
  <si>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</si>
  <si>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</si>
  <si>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</si>
  <si>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</si>
  <si>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</si>
  <si>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</si>
  <si>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</si>
  <si>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</si>
  <si>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</si>
  <si>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</si>
  <si>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</si>
  <si>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</si>
  <si>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</si>
  <si>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</si>
  <si>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</si>
  <si>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</si>
  <si>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</si>
  <si>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</si>
  <si>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</si>
  <si>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</si>
  <si>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</si>
  <si>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</si>
  <si>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</si>
  <si>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</si>
  <si>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</si>
  <si>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</si>
  <si>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</si>
  <si>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</si>
  <si>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</si>
  <si>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</si>
  <si>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</si>
  <si>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</si>
  <si>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</si>
  <si>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</si>
  <si>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</si>
  <si>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</si>
  <si>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</si>
  <si>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</si>
  <si>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</si>
  <si>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</si>
  <si>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</si>
  <si>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</si>
  <si>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</si>
  <si>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</si>
  <si>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</si>
  <si>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</si>
  <si>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</si>
  <si>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</si>
  <si>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</si>
  <si>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</si>
  <si>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</si>
  <si>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</si>
  <si>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</si>
  <si>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</si>
  <si>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</si>
  <si>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</si>
  <si>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</si>
  <si>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</si>
  <si>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</si>
  <si>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</si>
  <si>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</si>
  <si>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</si>
  <si>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</si>
  <si>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</si>
  <si>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</si>
  <si>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</si>
  <si>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</si>
  <si>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</si>
  <si>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</si>
  <si>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</si>
  <si>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</si>
  <si>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</si>
  <si>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</si>
  <si>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</si>
  <si>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</si>
  <si>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</si>
  <si>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</si>
  <si>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</si>
  <si>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</si>
  <si>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</si>
  <si>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</si>
  <si>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</si>
  <si>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</si>
  <si>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</si>
  <si>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</si>
  <si>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</si>
  <si>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</si>
  <si>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</si>
  <si>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</si>
  <si>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</si>
  <si>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</si>
  <si>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</si>
  <si>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</si>
  <si>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</si>
  <si>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</si>
  <si>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</si>
  <si>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</si>
  <si>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</si>
  <si>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</si>
  <si>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</si>
  <si>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</si>
  <si>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</si>
  <si>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</si>
  <si>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</si>
  <si>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</si>
  <si>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</si>
  <si>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</si>
  <si>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</si>
  <si>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</si>
  <si>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</si>
  <si>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</si>
  <si>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</si>
  <si>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</si>
  <si>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</si>
  <si>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</si>
  <si>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</si>
  <si>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</si>
  <si>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</si>
  <si>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</si>
  <si>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</si>
  <si>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</si>
  <si>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</si>
  <si>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</si>
  <si>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</si>
  <si>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</si>
  <si>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</si>
  <si>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</si>
  <si>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</si>
  <si>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</si>
  <si>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</si>
  <si>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</si>
  <si>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</si>
  <si>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</si>
  <si>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</si>
  <si>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</si>
  <si>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</si>
  <si>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</si>
  <si>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</si>
  <si>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</si>
  <si>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</si>
  <si>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</si>
  <si>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</si>
  <si>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</si>
  <si>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</si>
  <si>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</si>
  <si>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</si>
  <si>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</si>
  <si>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</si>
  <si>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</si>
  <si>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</si>
  <si>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</si>
  <si>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</si>
  <si>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</si>
  <si>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</si>
  <si>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</si>
  <si>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</si>
  <si>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</si>
  <si>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</si>
  <si>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</si>
  <si>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</si>
  <si>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</si>
  <si>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</si>
  <si>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</si>
  <si>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</si>
  <si>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</si>
  <si>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</si>
  <si>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</si>
  <si>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</si>
  <si>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</si>
  <si>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</si>
  <si>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</si>
  <si>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</si>
  <si>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</si>
  <si>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</si>
  <si>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</si>
  <si>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</si>
  <si>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</si>
  <si>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</si>
  <si>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</si>
  <si>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</si>
  <si>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</si>
  <si>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</si>
  <si>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</si>
  <si>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</si>
  <si>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</si>
  <si>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</si>
  <si>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</si>
  <si>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</si>
  <si>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</si>
  <si>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</si>
  <si>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</si>
  <si>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</si>
  <si>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</si>
  <si>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</si>
  <si>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</si>
  <si>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</si>
  <si>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</si>
  <si>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</si>
  <si>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</si>
  <si>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</si>
  <si>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</si>
  <si>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</si>
  <si>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</si>
  <si>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</si>
  <si>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</si>
  <si>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</si>
  <si>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</si>
  <si>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</si>
  <si>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</si>
  <si>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</si>
  <si>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</si>
  <si>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</si>
  <si>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</si>
  <si>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</si>
  <si>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</si>
  <si>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</si>
  <si>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</si>
  <si>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</si>
  <si>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</si>
  <si>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</si>
  <si>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</si>
  <si>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</si>
  <si>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</si>
  <si>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</si>
  <si>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</si>
  <si>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</si>
  <si>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</si>
  <si>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</si>
  <si>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</si>
  <si>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</si>
  <si>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</si>
  <si>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</si>
  <si>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</si>
  <si>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</si>
  <si>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</si>
  <si>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</si>
  <si>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</si>
  <si>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</si>
  <si>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</si>
  <si>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</si>
  <si>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</si>
  <si>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</si>
  <si>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</si>
  <si>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</si>
  <si>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</si>
  <si>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</si>
  <si>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</si>
  <si>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</si>
  <si>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</si>
  <si>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</si>
  <si>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</si>
  <si>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</si>
  <si>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</si>
  <si>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</si>
  <si>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</si>
  <si>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</si>
  <si>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</si>
  <si>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</si>
  <si>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</si>
  <si>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</si>
  <si>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</si>
  <si>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</si>
  <si>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</si>
  <si>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</si>
  <si>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</si>
  <si>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</si>
  <si>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</si>
  <si>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</si>
  <si>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</si>
  <si>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</si>
  <si>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</si>
  <si>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</si>
  <si>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</si>
  <si>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</si>
  <si>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</si>
  <si>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</si>
  <si>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</si>
  <si>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</si>
  <si>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</si>
  <si>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</si>
  <si>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</si>
  <si>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</si>
  <si>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</si>
  <si>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</si>
  <si>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</si>
  <si>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</si>
  <si>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</si>
  <si>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</si>
  <si>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</si>
  <si>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</si>
  <si>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</si>
  <si>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</si>
  <si>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</si>
  <si>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</si>
  <si>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</si>
  <si>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</si>
  <si>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</si>
  <si>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</si>
  <si>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</si>
  <si>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</si>
  <si>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</si>
  <si>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</si>
  <si>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</si>
  <si>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</si>
  <si>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</si>
  <si>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</si>
  <si>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</si>
  <si>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</si>
  <si>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</si>
  <si>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</si>
  <si>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</si>
  <si>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</si>
  <si>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</si>
  <si>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</si>
  <si>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</si>
  <si>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</si>
  <si>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</si>
  <si>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</si>
  <si>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</si>
  <si>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</si>
  <si>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</si>
  <si>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</si>
  <si>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</si>
  <si>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</si>
  <si>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</si>
  <si>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</si>
  <si>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</si>
  <si>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</si>
  <si>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</si>
  <si>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</si>
  <si>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</si>
  <si>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</si>
  <si>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</si>
  <si>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</si>
  <si>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</si>
  <si>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</si>
  <si>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</si>
  <si>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</si>
  <si>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</si>
  <si>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</si>
  <si>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</si>
  <si>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</si>
  <si>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</si>
  <si>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</si>
  <si>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</si>
  <si>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</si>
  <si>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</si>
  <si>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</si>
  <si>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</si>
  <si>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</si>
  <si>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</si>
  <si>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</si>
  <si>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</si>
  <si>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</si>
  <si>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</si>
  <si>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</si>
  <si>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</si>
  <si>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</si>
  <si>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</si>
  <si>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</si>
  <si>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</si>
  <si>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</si>
  <si>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</si>
  <si>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</si>
  <si>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</si>
  <si>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</si>
  <si>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</si>
  <si>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</si>
  <si>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</si>
  <si>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</si>
  <si>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</si>
  <si>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</si>
  <si>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</si>
  <si>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</si>
  <si>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</si>
  <si>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</si>
  <si>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</si>
  <si>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</si>
  <si>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</si>
  <si>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</si>
  <si>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</si>
  <si>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</si>
  <si>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</si>
  <si>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</si>
  <si>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</si>
  <si>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</si>
  <si>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</si>
  <si>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</si>
  <si>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</si>
  <si>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</si>
  <si>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</si>
  <si>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</si>
  <si>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</si>
  <si>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</si>
  <si>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</si>
  <si>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</si>
  <si>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</si>
  <si>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</si>
  <si>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</si>
  <si>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</si>
  <si>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</si>
  <si>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</si>
  <si>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</si>
  <si>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</si>
  <si>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</si>
  <si>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</si>
  <si>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</si>
  <si>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</si>
  <si>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</si>
  <si>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</si>
  <si>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</si>
  <si>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</si>
  <si>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</si>
  <si>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</si>
  <si>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</si>
  <si>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</si>
  <si>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</si>
  <si>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</si>
  <si>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</si>
  <si>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</si>
  <si>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</si>
  <si>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</si>
  <si>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</si>
  <si>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</si>
  <si>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</si>
  <si>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</si>
  <si>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</si>
  <si>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</si>
  <si>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</si>
  <si>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</si>
  <si>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</si>
  <si>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</si>
  <si>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</si>
  <si>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</si>
  <si>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</si>
  <si>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</si>
  <si>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</si>
  <si>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</si>
  <si>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</si>
  <si>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</si>
  <si>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</si>
  <si>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</si>
  <si>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</si>
  <si>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</si>
  <si>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</si>
  <si>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</si>
  <si>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</si>
  <si>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</si>
  <si>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</si>
  <si>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</si>
  <si>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</si>
  <si>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</si>
  <si>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</si>
  <si>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</si>
  <si>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</si>
  <si>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</si>
  <si>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</si>
  <si>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</si>
  <si>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</si>
  <si>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</si>
  <si>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</si>
  <si>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</si>
  <si>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</si>
  <si>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</si>
  <si>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</si>
  <si>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</si>
  <si>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</si>
  <si>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</si>
  <si>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</si>
  <si>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</si>
  <si>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</si>
  <si>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</si>
  <si>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</si>
  <si>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</si>
  <si>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</si>
  <si>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</si>
  <si>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</si>
  <si>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</si>
  <si>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</si>
  <si>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</si>
  <si>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</si>
  <si>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</si>
  <si>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</si>
  <si>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</si>
  <si>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</si>
  <si>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</si>
  <si>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</si>
  <si>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</si>
  <si>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</si>
  <si>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</si>
  <si>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</si>
  <si>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</si>
  <si>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</si>
  <si>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</si>
  <si>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</si>
  <si>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</si>
  <si>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</si>
  <si>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</si>
  <si>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</si>
  <si>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</si>
  <si>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</si>
  <si>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</si>
  <si>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</si>
  <si>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</si>
  <si>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</si>
  <si>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</si>
  <si>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</si>
  <si>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</si>
  <si>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</si>
  <si>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</si>
  <si>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</si>
  <si>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</si>
  <si>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</si>
  <si>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</si>
  <si>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</si>
  <si>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</si>
  <si>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</si>
  <si>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</si>
  <si>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</si>
  <si>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</si>
  <si>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</si>
  <si>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</si>
  <si>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</si>
  <si>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</si>
  <si>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</si>
  <si>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</si>
  <si>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</si>
  <si>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</si>
  <si>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</si>
  <si>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</si>
  <si>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</si>
  <si>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</si>
  <si>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</si>
  <si>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</si>
  <si>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</si>
  <si>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</si>
  <si>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</si>
  <si>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</si>
  <si>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</si>
  <si>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</si>
  <si>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</si>
  <si>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</si>
  <si>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</si>
  <si>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</si>
  <si>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</si>
  <si>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</si>
  <si>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</si>
  <si>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</si>
  <si>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</si>
  <si>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</si>
  <si>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</si>
  <si>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</si>
  <si>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</si>
  <si>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</si>
  <si>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</si>
  <si>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</si>
  <si>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</si>
  <si>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</si>
  <si>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</si>
  <si>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</si>
  <si>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</si>
  <si>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</si>
  <si>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</si>
  <si>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</si>
  <si>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</si>
  <si>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</si>
  <si>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</si>
  <si>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</si>
  <si>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</si>
  <si>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</si>
  <si>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</si>
  <si>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</si>
  <si>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</si>
  <si>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</si>
  <si>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</si>
  <si>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</si>
  <si>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</si>
  <si>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</si>
  <si>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</si>
  <si>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</si>
  <si>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</si>
  <si>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</si>
  <si>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</si>
  <si>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</si>
  <si>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</si>
  <si>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</si>
  <si>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</si>
  <si>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</si>
  <si>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</si>
  <si>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</si>
  <si>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</si>
  <si>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</si>
  <si>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</si>
  <si>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</si>
  <si>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</si>
  <si>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</si>
  <si>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</si>
  <si>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</si>
  <si>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</si>
  <si>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</si>
  <si>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</si>
  <si>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</si>
  <si>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</si>
  <si>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</si>
  <si>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</si>
  <si>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</si>
  <si>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</si>
  <si>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</si>
  <si>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</si>
  <si>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</si>
  <si>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</si>
  <si>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</si>
  <si>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</si>
  <si>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</si>
  <si>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</si>
  <si>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</si>
  <si>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</si>
  <si>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</si>
  <si>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</si>
  <si>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</si>
  <si>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</si>
  <si>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</si>
  <si>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</si>
  <si>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</si>
  <si>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</si>
  <si>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</si>
  <si>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</si>
  <si>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</si>
  <si>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</si>
  <si>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</si>
  <si>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</si>
  <si>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</si>
  <si>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</si>
  <si>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</si>
  <si>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</si>
  <si>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</si>
  <si>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</si>
  <si>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</si>
  <si>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</si>
  <si>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</si>
  <si>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</si>
  <si>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</si>
  <si>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</si>
  <si>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</si>
  <si>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</si>
  <si>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</si>
  <si>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</si>
  <si>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</si>
  <si>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</si>
  <si>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</si>
  <si>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</si>
  <si>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</si>
  <si>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</si>
  <si>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</si>
  <si>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</si>
  <si>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</si>
  <si>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</si>
  <si>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</si>
  <si>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</si>
  <si>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</si>
  <si>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</si>
  <si>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</si>
  <si>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</si>
  <si>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</si>
  <si>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</si>
  <si>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</si>
  <si>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</si>
  <si>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</si>
  <si>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</si>
  <si>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</si>
  <si>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</si>
  <si>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</si>
  <si>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</si>
  <si>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</si>
  <si>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</si>
  <si>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</si>
  <si>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</si>
  <si>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</si>
  <si>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</si>
  <si>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</si>
  <si>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</si>
  <si>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</si>
  <si>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</si>
  <si>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</si>
  <si>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</si>
  <si>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</si>
  <si>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</si>
  <si>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</si>
  <si>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</si>
  <si>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</si>
  <si>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</si>
  <si>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</si>
  <si>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</si>
  <si>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</si>
  <si>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</si>
  <si>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</si>
  <si>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</si>
  <si>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</si>
  <si>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</si>
  <si>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</si>
  <si>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</si>
  <si>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</si>
  <si>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</si>
  <si>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</si>
  <si>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</si>
  <si>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</si>
  <si>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</si>
  <si>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</si>
  <si>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</si>
  <si>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</si>
  <si>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</si>
  <si>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</si>
  <si>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</si>
  <si>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</si>
  <si>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</si>
  <si>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</si>
  <si>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</si>
  <si>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</si>
  <si>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</si>
  <si>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</si>
  <si>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</si>
  <si>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</si>
  <si>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</si>
  <si>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</si>
  <si>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</si>
  <si>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</si>
  <si>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</si>
  <si>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</si>
  <si>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</si>
  <si>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</si>
  <si>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</si>
  <si>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</si>
  <si>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</si>
  <si>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</si>
  <si>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</si>
  <si>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</si>
  <si>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</si>
  <si>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</si>
  <si>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</si>
  <si>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</si>
  <si>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</si>
  <si>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</si>
  <si>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</si>
  <si>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</si>
  <si>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</si>
  <si>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</si>
  <si>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</si>
  <si>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</si>
  <si>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</si>
  <si>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</si>
  <si>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</si>
  <si>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</si>
  <si>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</si>
  <si>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</si>
  <si>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</si>
  <si>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</si>
  <si>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</si>
  <si>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</si>
  <si>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</si>
  <si>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</si>
  <si>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</si>
  <si>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</si>
  <si>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</si>
  <si>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</si>
  <si>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</si>
  <si>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</si>
  <si>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</si>
  <si>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</si>
  <si>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</si>
  <si>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</si>
  <si>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</si>
  <si>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</si>
  <si>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</si>
  <si>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</si>
  <si>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</si>
  <si>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</si>
  <si>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</si>
  <si>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</si>
  <si>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</si>
  <si>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</si>
  <si>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</si>
  <si>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</si>
  <si>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</si>
  <si>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</si>
  <si>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</si>
  <si>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</si>
  <si>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</si>
  <si>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</si>
  <si>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</si>
  <si>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</si>
  <si>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</si>
  <si>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</si>
  <si>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</si>
  <si>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</si>
  <si>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</si>
  <si>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</si>
  <si>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</si>
  <si>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</si>
  <si>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</si>
  <si>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</si>
  <si>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</si>
  <si>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</si>
  <si>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</si>
  <si>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</si>
  <si>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</si>
  <si>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</si>
  <si>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</si>
  <si>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</si>
  <si>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</si>
  <si>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</si>
  <si>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</si>
  <si>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</si>
  <si>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</si>
  <si>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</si>
  <si>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</si>
  <si>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</si>
  <si>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</si>
  <si>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</si>
  <si>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</si>
  <si>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</si>
  <si>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</si>
  <si>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</si>
  <si>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</si>
  <si>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</si>
  <si>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</si>
  <si>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</si>
  <si>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</si>
  <si>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</si>
  <si>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</si>
  <si>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</si>
  <si>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</si>
  <si>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</si>
  <si>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</si>
  <si>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</si>
  <si>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</si>
  <si>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</si>
  <si>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</si>
  <si>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</si>
  <si>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</si>
  <si>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</si>
  <si>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</si>
  <si>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</si>
  <si>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</si>
  <si>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</si>
  <si>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</si>
  <si>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</si>
  <si>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</si>
  <si>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</si>
  <si>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</si>
  <si>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</si>
  <si>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</si>
  <si>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</si>
  <si>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</si>
  <si>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</si>
  <si>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</si>
  <si>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</si>
  <si>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</si>
  <si>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</si>
  <si>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</si>
  <si>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</si>
  <si>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</si>
  <si>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</si>
  <si>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</si>
  <si>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</si>
  <si>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</si>
  <si>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</si>
  <si>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</si>
  <si>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</si>
  <si>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</si>
  <si>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</si>
  <si>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</si>
  <si>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</si>
  <si>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</si>
  <si>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</si>
  <si>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</si>
  <si>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</si>
  <si>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</si>
  <si>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</si>
  <si>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</si>
  <si>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</si>
  <si>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</si>
  <si>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</si>
  <si>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</si>
  <si>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</si>
  <si>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</si>
  <si>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</si>
  <si>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</si>
  <si>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</si>
  <si>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</si>
  <si>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</si>
  <si>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</si>
  <si>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</si>
  <si>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</si>
  <si>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</si>
  <si>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</si>
  <si>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</si>
  <si>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</si>
  <si>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</si>
  <si>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</si>
  <si>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</si>
  <si>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</si>
  <si>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</si>
  <si>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</si>
  <si>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</si>
  <si>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</si>
  <si>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</si>
  <si>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</si>
  <si>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</si>
  <si>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</si>
  <si>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</si>
  <si>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</si>
  <si>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</si>
  <si>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</si>
  <si>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</si>
  <si>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</si>
  <si>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</si>
  <si>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</si>
  <si>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</si>
  <si>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</si>
  <si>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</si>
  <si>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</si>
  <si>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</si>
  <si>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</si>
  <si>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</si>
  <si>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</si>
  <si>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</si>
  <si>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</si>
  <si>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</si>
  <si>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</si>
  <si>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</si>
  <si>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</si>
  <si>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</si>
  <si>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</si>
  <si>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</si>
  <si>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</si>
  <si>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</si>
  <si>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</si>
  <si>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</si>
  <si>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</si>
  <si>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</si>
  <si>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</si>
  <si>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</si>
  <si>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</si>
  <si>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</si>
  <si>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</si>
  <si>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</si>
  <si>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</si>
  <si>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</si>
  <si>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</si>
  <si>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</si>
  <si>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</si>
  <si>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</si>
  <si>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</si>
  <si>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</si>
  <si>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</si>
  <si>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</si>
  <si>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</si>
  <si>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</si>
  <si>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</si>
  <si>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</si>
  <si>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</si>
  <si>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</si>
  <si>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</si>
  <si>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</si>
  <si>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</si>
  <si>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</si>
  <si>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</si>
  <si>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</si>
  <si>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</si>
  <si>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</si>
  <si>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</si>
  <si>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</si>
  <si>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</si>
  <si>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</si>
  <si>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</si>
  <si>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</si>
  <si>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</si>
  <si>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</si>
  <si>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</si>
  <si>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</si>
  <si>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</si>
  <si>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</si>
  <si>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</si>
  <si>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</si>
  <si>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</si>
  <si>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</si>
  <si>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</si>
  <si>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</si>
  <si>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</si>
  <si>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</si>
  <si>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</si>
  <si>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</si>
  <si>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</si>
  <si>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</si>
  <si>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</si>
  <si>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</si>
  <si>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</si>
  <si>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</si>
  <si>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</si>
  <si>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</si>
  <si>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</si>
  <si>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</si>
  <si>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</si>
  <si>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</si>
  <si>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</si>
  <si>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</si>
  <si>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</si>
  <si>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</si>
  <si>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</si>
  <si>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</si>
  <si>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</si>
  <si>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</si>
  <si>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</si>
  <si>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</si>
  <si>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</si>
  <si>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</si>
  <si>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</si>
  <si>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</si>
  <si>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</si>
  <si>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</si>
  <si>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</si>
  <si>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</si>
  <si>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</si>
  <si>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</si>
  <si>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</si>
  <si>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</si>
  <si>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</si>
  <si>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</si>
  <si>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</si>
  <si>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</si>
  <si>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</si>
  <si>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</si>
  <si>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</si>
  <si>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</si>
  <si>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</si>
  <si>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</si>
  <si>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</si>
  <si>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</si>
  <si>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</si>
  <si>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</si>
  <si>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</si>
  <si>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</si>
  <si>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</si>
  <si>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</si>
  <si>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</si>
  <si>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</si>
  <si>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</si>
  <si>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</si>
  <si>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</si>
  <si>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</si>
  <si>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</si>
  <si>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</si>
  <si>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</si>
  <si>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</si>
  <si>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</si>
  <si>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</si>
  <si>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</si>
  <si>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</si>
  <si>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</si>
  <si>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</si>
  <si>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</si>
  <si>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</si>
  <si>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</si>
  <si>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</si>
  <si>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</si>
  <si>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</si>
  <si>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</si>
  <si>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</si>
  <si>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</si>
  <si>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</si>
  <si>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</si>
  <si>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</si>
  <si>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</si>
  <si>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</si>
  <si>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</si>
  <si>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</si>
  <si>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</si>
  <si>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</si>
  <si>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</si>
  <si>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</si>
  <si>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</si>
  <si>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</si>
  <si>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</si>
  <si>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</si>
  <si>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</si>
  <si>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</si>
  <si>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</si>
  <si>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</si>
  <si>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</si>
  <si>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</si>
  <si>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</si>
  <si>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</si>
  <si>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</si>
  <si>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</si>
  <si>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</si>
  <si>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</si>
  <si>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</si>
  <si>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</si>
  <si>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</si>
  <si>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</si>
  <si>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</si>
  <si>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</si>
  <si>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</si>
  <si>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</si>
  <si>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</si>
  <si>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</si>
  <si>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</si>
  <si>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</si>
  <si>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</si>
  <si>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</si>
  <si>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</si>
  <si>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</si>
  <si>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</si>
  <si>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</si>
  <si>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</si>
  <si>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</si>
  <si>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</si>
  <si>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</si>
  <si>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</si>
  <si>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</si>
  <si>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</si>
  <si>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</si>
  <si>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</si>
  <si>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</si>
  <si>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</si>
  <si>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</si>
  <si>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</si>
  <si>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</si>
  <si>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</si>
  <si>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</si>
  <si>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</si>
  <si>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</si>
  <si>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</si>
  <si>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</si>
  <si>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</si>
  <si>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</si>
  <si>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</si>
  <si>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</si>
  <si>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</si>
  <si>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</si>
  <si>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</si>
  <si>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</si>
  <si>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</si>
  <si>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</si>
  <si>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</si>
  <si>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</si>
  <si>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</si>
  <si>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</si>
  <si>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</si>
  <si>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</si>
  <si>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</si>
  <si>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</si>
  <si>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</si>
  <si>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</si>
  <si>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</si>
  <si>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</si>
  <si>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</si>
  <si>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</si>
  <si>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</si>
  <si>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</si>
  <si>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</si>
  <si>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</si>
  <si>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</si>
  <si>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</si>
  <si>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</si>
  <si>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</si>
  <si>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</si>
  <si>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</si>
  <si>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</si>
  <si>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</si>
  <si>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</si>
  <si>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</si>
  <si>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</si>
  <si>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</si>
  <si>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</si>
  <si>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</si>
  <si>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</si>
  <si>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</si>
  <si>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</si>
  <si>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</si>
  <si>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</si>
  <si>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</si>
  <si>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</si>
  <si>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</si>
  <si>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</si>
  <si>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</si>
  <si>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</si>
  <si>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</si>
  <si>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</si>
  <si>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</si>
  <si>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</si>
  <si>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</si>
  <si>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</si>
  <si>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</si>
  <si>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</si>
  <si>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</si>
  <si>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</si>
  <si>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</si>
  <si>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</si>
  <si>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</si>
  <si>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</si>
  <si>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</si>
  <si>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</si>
  <si>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</si>
  <si>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</si>
  <si>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</si>
  <si>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</si>
  <si>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</si>
  <si>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</si>
  <si>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</si>
  <si>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</si>
  <si>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</si>
  <si>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</si>
  <si>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</si>
  <si>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</si>
  <si>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</si>
  <si>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</si>
  <si>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</si>
  <si>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</si>
  <si>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</si>
  <si>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</si>
  <si>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</si>
  <si>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</si>
  <si>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</si>
  <si>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</si>
  <si>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</si>
  <si>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</si>
  <si>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</si>
  <si>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</si>
  <si>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</si>
  <si>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</si>
  <si>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</si>
  <si>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</si>
  <si>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</si>
  <si>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</si>
  <si>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</si>
  <si>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</si>
  <si>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</si>
  <si>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</si>
  <si>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</si>
  <si>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</si>
  <si>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</si>
  <si>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</si>
  <si>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</si>
  <si>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</si>
  <si>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</si>
  <si>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</si>
  <si>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</si>
  <si>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</si>
  <si>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</si>
  <si>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</si>
  <si>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</si>
  <si>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</si>
  <si>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</si>
  <si>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</si>
  <si>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</si>
  <si>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</si>
  <si>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</si>
  <si>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</si>
  <si>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</si>
  <si>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</si>
  <si>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</si>
  <si>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</si>
  <si>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</si>
  <si>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</si>
  <si>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</si>
  <si>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</si>
  <si>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</si>
  <si>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</si>
  <si>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</si>
  <si>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</si>
  <si>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</si>
  <si>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</si>
  <si>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</si>
  <si>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</si>
  <si>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</si>
  <si>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</si>
  <si>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</si>
  <si>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</si>
  <si>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</si>
  <si>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</si>
  <si>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</si>
  <si>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</si>
  <si>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</si>
  <si>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</si>
  <si>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</si>
  <si>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</si>
  <si>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</si>
  <si>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</si>
  <si>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</si>
  <si>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</si>
  <si>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</si>
  <si>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</si>
  <si>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</si>
  <si>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</si>
  <si>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</si>
  <si>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</si>
  <si>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</si>
  <si>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</si>
  <si>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</si>
  <si>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</si>
  <si>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</si>
  <si>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</si>
  <si>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</si>
  <si>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</si>
  <si>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</si>
  <si>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</si>
  <si>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</si>
  <si>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</si>
  <si>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</si>
  <si>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</si>
  <si>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</si>
  <si>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</si>
  <si>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</si>
  <si>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</si>
  <si>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</si>
  <si>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</si>
  <si>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</si>
  <si>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</si>
  <si>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</si>
  <si>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</si>
  <si>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</si>
  <si>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</si>
  <si>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</si>
  <si>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</si>
  <si>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</si>
  <si>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</si>
  <si>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</si>
  <si>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</si>
  <si>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</si>
  <si>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</si>
  <si>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</si>
  <si>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</si>
  <si>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</si>
  <si>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</si>
  <si>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</si>
  <si>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</si>
  <si>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</si>
  <si>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</si>
  <si>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</si>
  <si>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</si>
  <si>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</si>
  <si>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</si>
  <si>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</si>
  <si>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</si>
  <si>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</si>
  <si>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</si>
  <si>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</si>
  <si>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</si>
  <si>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</si>
  <si>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</si>
  <si>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</si>
  <si>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</si>
  <si>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</si>
  <si>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</si>
  <si>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</si>
  <si>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</si>
  <si>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</si>
  <si>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</si>
  <si>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</si>
  <si>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</si>
  <si>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</si>
  <si>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</si>
  <si>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</si>
  <si>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</si>
  <si>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</si>
  <si>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</si>
  <si>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</si>
  <si>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</si>
  <si>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</si>
  <si>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</si>
  <si>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</si>
  <si>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</si>
  <si>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</si>
  <si>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</si>
  <si>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</si>
  <si>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</si>
  <si>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</si>
  <si>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</si>
  <si>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</si>
  <si>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</si>
  <si>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</si>
  <si>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</si>
  <si>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</si>
  <si>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</si>
  <si>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</si>
  <si>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</si>
  <si>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</si>
  <si>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</si>
  <si>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</si>
  <si>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</si>
  <si>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</si>
  <si>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</si>
  <si>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</si>
  <si>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</si>
  <si>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</si>
  <si>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</si>
  <si>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</si>
  <si>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</si>
  <si>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</si>
  <si>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</si>
  <si>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</si>
  <si>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</si>
  <si>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</si>
  <si>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</si>
  <si>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</si>
  <si>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</si>
  <si>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</si>
  <si>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</si>
  <si>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</si>
  <si>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</si>
  <si>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</si>
  <si>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</si>
  <si>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</si>
  <si>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</si>
  <si>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</si>
  <si>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</si>
  <si>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</si>
  <si>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</si>
  <si>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</si>
  <si>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</si>
  <si>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</si>
  <si>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</si>
  <si>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</si>
  <si>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</si>
  <si>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</si>
  <si>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</si>
  <si>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</si>
  <si>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</si>
  <si>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</si>
  <si>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</si>
  <si>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</si>
  <si>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</si>
  <si>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</si>
  <si>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</si>
  <si>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</si>
  <si>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</si>
  <si>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</si>
  <si>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</si>
  <si>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</si>
  <si>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</si>
  <si>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</si>
  <si>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</si>
  <si>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</si>
  <si>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</si>
  <si>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</si>
  <si>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</si>
  <si>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</si>
  <si>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</si>
  <si>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</si>
  <si>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</si>
  <si>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</si>
  <si>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</si>
  <si>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</si>
  <si>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</si>
  <si>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</si>
  <si>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</si>
  <si>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</si>
  <si>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</si>
  <si>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</si>
  <si>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</si>
  <si>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</si>
  <si>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</si>
  <si>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</si>
  <si>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</si>
  <si>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</si>
  <si>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</si>
  <si>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</si>
  <si>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</si>
  <si>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</si>
  <si>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</si>
  <si>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</si>
  <si>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</si>
  <si>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</si>
  <si>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</si>
  <si>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</si>
  <si>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</si>
  <si>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</si>
  <si>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</si>
  <si>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</si>
  <si>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</si>
  <si>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</si>
  <si>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</si>
  <si>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</si>
  <si>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</si>
  <si>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</si>
  <si>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</si>
  <si>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</si>
  <si>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</si>
  <si>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</si>
  <si>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</si>
  <si>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</si>
  <si>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</si>
  <si>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</si>
  <si>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</si>
  <si>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</si>
  <si>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</si>
  <si>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</si>
  <si>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</si>
  <si>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</si>
  <si>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</si>
  <si>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</si>
  <si>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</si>
  <si>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</si>
  <si>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</si>
  <si>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</si>
  <si>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</si>
  <si>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</si>
  <si>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</si>
  <si>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</si>
  <si>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</si>
  <si>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</si>
  <si>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</si>
  <si>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</si>
  <si>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</si>
  <si>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</si>
  <si>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</si>
  <si>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</si>
  <si>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</si>
  <si>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</si>
  <si>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</si>
  <si>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</si>
  <si>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</si>
  <si>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</si>
  <si>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</si>
  <si>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</si>
  <si>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</si>
  <si>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</si>
  <si>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</si>
  <si>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</si>
  <si>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</si>
  <si>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</si>
  <si>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</si>
  <si>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</si>
  <si>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</si>
  <si>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</si>
  <si>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</si>
  <si>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</si>
  <si>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</si>
  <si>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</si>
  <si>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</si>
  <si>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</si>
  <si>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</si>
  <si>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</si>
  <si>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</si>
  <si>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</si>
  <si>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</si>
  <si>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</si>
  <si>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</si>
  <si>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</si>
  <si>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</si>
  <si>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</si>
  <si>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</si>
  <si>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</si>
  <si>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</si>
  <si>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</si>
  <si>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</si>
  <si>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</si>
  <si>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</si>
  <si>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</si>
  <si>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</si>
  <si>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</si>
  <si>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</si>
  <si>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</si>
  <si>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</si>
  <si>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</si>
  <si>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</si>
  <si>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</si>
  <si>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</si>
  <si>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</si>
  <si>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</si>
  <si>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</si>
  <si>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</si>
  <si>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</si>
  <si>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</si>
  <si>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</si>
  <si>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</si>
  <si>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</si>
  <si>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</si>
  <si>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</si>
  <si>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</si>
  <si>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</si>
  <si>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</si>
  <si>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</si>
  <si>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</si>
  <si>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</si>
  <si>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</si>
  <si>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</si>
  <si>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</si>
  <si>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</si>
  <si>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</si>
  <si>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</si>
  <si>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</si>
  <si>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</si>
  <si>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</si>
  <si>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</si>
  <si>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</si>
  <si>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</si>
  <si>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</si>
  <si>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</si>
  <si>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</si>
  <si>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</si>
  <si>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</si>
  <si>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</si>
  <si>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</si>
  <si>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</si>
  <si>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</si>
  <si>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</si>
  <si>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</si>
  <si>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</si>
  <si>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</si>
  <si>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</si>
  <si>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</si>
  <si>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</si>
  <si>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</si>
  <si>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</si>
  <si>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</si>
  <si>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</si>
  <si>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</si>
  <si>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</si>
  <si>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</si>
  <si>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</si>
  <si>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</si>
  <si>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</si>
  <si>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</si>
  <si>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</si>
  <si>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</si>
  <si>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</si>
  <si>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</si>
  <si>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</si>
  <si>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</si>
  <si>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</si>
  <si>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</si>
  <si>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</si>
  <si>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</si>
  <si>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</si>
  <si>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</si>
  <si>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</si>
  <si>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</si>
  <si>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</si>
  <si>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</si>
  <si>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</si>
  <si>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</si>
  <si>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</si>
  <si>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</si>
  <si>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</si>
  <si>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</si>
  <si>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</si>
  <si>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</si>
  <si>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</si>
  <si>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</si>
  <si>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</si>
  <si>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</si>
  <si>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</si>
  <si>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</si>
  <si>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</si>
  <si>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</si>
  <si>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</si>
  <si>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</si>
  <si>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</si>
  <si>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</si>
  <si>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</si>
  <si>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</si>
  <si>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</si>
  <si>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</si>
  <si>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</si>
  <si>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</si>
  <si>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</si>
  <si>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</si>
  <si>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</si>
  <si>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</si>
  <si>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</si>
  <si>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</si>
  <si>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</si>
  <si>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</si>
  <si>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</si>
  <si>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</si>
  <si>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</si>
  <si>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</si>
  <si>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</si>
  <si>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</si>
  <si>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</si>
  <si>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</si>
  <si>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</si>
  <si>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</si>
  <si>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</si>
  <si>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</si>
  <si>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</si>
  <si>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</si>
  <si>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</si>
  <si>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</si>
  <si>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</si>
  <si>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</si>
  <si>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</si>
  <si>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</si>
  <si>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</si>
  <si>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</si>
  <si>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</si>
  <si>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</si>
  <si>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</si>
  <si>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</si>
  <si>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</si>
  <si>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</si>
  <si>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</si>
  <si>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</si>
  <si>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</si>
  <si>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</si>
  <si>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</si>
  <si>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</si>
  <si>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</si>
  <si>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</si>
  <si>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</si>
  <si>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</si>
  <si>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</si>
  <si>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</si>
  <si>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</si>
  <si>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</si>
  <si>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</si>
  <si>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</si>
  <si>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</si>
  <si>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</si>
  <si>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</si>
  <si>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</si>
  <si>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</si>
  <si>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</si>
  <si>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</si>
  <si>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</si>
  <si>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</si>
  <si>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</si>
  <si>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</si>
  <si>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</si>
  <si>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</si>
  <si>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</si>
  <si>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</si>
  <si>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</si>
  <si>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</si>
  <si>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</si>
  <si>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</si>
  <si>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</si>
  <si>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</si>
  <si>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</si>
  <si>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</si>
  <si>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</si>
  <si>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</si>
  <si>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</si>
  <si>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</si>
  <si>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</si>
  <si>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</si>
  <si>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</si>
  <si>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</si>
  <si>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</si>
  <si>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</si>
  <si>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</si>
  <si>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</si>
  <si>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</si>
  <si>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</si>
  <si>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</si>
  <si>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</si>
  <si>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</si>
  <si>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</si>
  <si>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</si>
  <si>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</si>
  <si>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</si>
  <si>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</si>
  <si>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</si>
  <si>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</si>
  <si>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</si>
  <si>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</si>
  <si>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</si>
  <si>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</si>
  <si>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</si>
  <si>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</si>
  <si>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</si>
  <si>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</si>
  <si>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</si>
  <si>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</si>
  <si>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</si>
  <si>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</si>
  <si>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</si>
  <si>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</si>
  <si>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</si>
  <si>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</si>
  <si>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</si>
  <si>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</si>
  <si>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</si>
  <si>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</si>
  <si>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</si>
  <si>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</si>
  <si>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</si>
  <si>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</si>
  <si>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</si>
  <si>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</si>
  <si>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</si>
  <si>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</si>
  <si>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</si>
  <si>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</si>
  <si>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</si>
  <si>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</si>
  <si>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</si>
  <si>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</si>
  <si>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</si>
  <si>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</si>
  <si>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</si>
  <si>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</si>
  <si>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</si>
  <si>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</si>
  <si>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</si>
  <si>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</si>
  <si>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</si>
  <si>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</si>
  <si>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</si>
  <si>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</si>
  <si>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</si>
  <si>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</si>
  <si>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</si>
  <si>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</si>
  <si>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</si>
  <si>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</si>
  <si>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</si>
  <si>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</si>
  <si>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</si>
  <si>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</si>
  <si>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</si>
  <si>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</si>
  <si>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</si>
  <si>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</si>
  <si>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</si>
  <si>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</si>
  <si>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</si>
  <si>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</si>
  <si>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</si>
  <si>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</si>
  <si>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</si>
  <si>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</si>
  <si>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</si>
  <si>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</si>
  <si>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</si>
  <si>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</si>
  <si>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</si>
  <si>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</si>
  <si>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</si>
  <si>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</si>
  <si>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</si>
  <si>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</si>
  <si>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</si>
  <si>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</si>
  <si>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</si>
  <si>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</si>
  <si>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</si>
  <si>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</si>
  <si>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</si>
  <si>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</si>
  <si>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</si>
  <si>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</si>
  <si>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</si>
  <si>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</si>
  <si>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</si>
  <si>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</si>
  <si>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</si>
  <si>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</si>
  <si>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</si>
  <si>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</si>
  <si>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</si>
  <si>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</si>
  <si>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</si>
  <si>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</si>
  <si>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</si>
  <si>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</si>
  <si>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</si>
  <si>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</si>
  <si>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</si>
  <si>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</si>
  <si>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</si>
  <si>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</si>
  <si>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</si>
  <si>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</si>
  <si>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</si>
  <si>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</si>
  <si>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</si>
  <si>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</si>
  <si>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</si>
  <si>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</si>
  <si>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</si>
  <si>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</si>
  <si>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</si>
  <si>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</si>
  <si>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</si>
  <si>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</si>
  <si>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</si>
  <si>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</si>
  <si>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</si>
  <si>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</si>
  <si>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</si>
  <si>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</si>
  <si>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</si>
  <si>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</si>
  <si>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</si>
  <si>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</si>
  <si>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</si>
  <si>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</si>
  <si>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</si>
  <si>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</si>
  <si>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</si>
  <si>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</si>
  <si>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</si>
  <si>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</si>
  <si>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</si>
  <si>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</si>
  <si>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</si>
  <si>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</si>
  <si>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</si>
  <si>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</si>
  <si>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</si>
  <si>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</si>
  <si>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</si>
  <si>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</si>
  <si>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</si>
  <si>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</si>
  <si>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</si>
  <si>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</si>
  <si>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</si>
  <si>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</si>
  <si>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</si>
  <si>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</si>
  <si>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</si>
  <si>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</si>
  <si>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</si>
  <si>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</si>
  <si>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</si>
  <si>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</si>
  <si>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</si>
  <si>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</si>
  <si>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</si>
  <si>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</si>
  <si>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</si>
  <si>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</si>
  <si>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</si>
  <si>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</si>
  <si>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</si>
  <si>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</si>
  <si>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</si>
  <si>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</si>
  <si>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</si>
  <si>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</si>
  <si>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</si>
  <si>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</si>
  <si>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</si>
  <si>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</si>
  <si>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</si>
  <si>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</si>
  <si>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</si>
  <si>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</si>
  <si>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</si>
  <si>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</si>
  <si>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</si>
  <si>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</si>
  <si>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</si>
  <si>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</si>
  <si>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</si>
  <si>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</si>
  <si>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</si>
  <si>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</si>
  <si>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</si>
  <si>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</si>
  <si>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</si>
  <si>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</si>
  <si>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</si>
  <si>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</si>
  <si>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</si>
  <si>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</si>
  <si>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</si>
  <si>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</si>
  <si>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</si>
  <si>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</si>
  <si>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</si>
  <si>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</si>
  <si>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</si>
  <si>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</si>
  <si>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</si>
  <si>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</si>
  <si>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</si>
  <si>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</si>
  <si>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</si>
  <si>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</si>
  <si>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</si>
  <si>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</si>
  <si>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</si>
  <si>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</si>
  <si>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</si>
  <si>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</si>
  <si>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</si>
  <si>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</si>
  <si>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</si>
  <si>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</si>
  <si>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</si>
  <si>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</si>
  <si>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</si>
  <si>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</si>
  <si>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</si>
  <si>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</si>
  <si>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</si>
  <si>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</si>
  <si>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</si>
  <si>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</si>
  <si>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</si>
  <si>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</si>
  <si>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</si>
  <si>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</si>
  <si>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</si>
  <si>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</si>
  <si>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</si>
  <si>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</si>
  <si>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</si>
  <si>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</si>
  <si>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</si>
  <si>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</si>
  <si>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</si>
  <si>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</si>
  <si>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</si>
  <si>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</si>
  <si>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</si>
  <si>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</si>
  <si>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</si>
  <si>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</si>
  <si>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</si>
  <si>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</si>
  <si>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</si>
  <si>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</si>
  <si>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</si>
  <si>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</si>
  <si>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</si>
  <si>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</si>
  <si>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</si>
  <si>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</si>
  <si>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</si>
  <si>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</si>
  <si>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</si>
  <si>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</si>
  <si>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</si>
  <si>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</si>
  <si>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</si>
  <si>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</si>
  <si>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</si>
  <si>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</si>
  <si>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</si>
  <si>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</si>
  <si>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</si>
  <si>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</si>
  <si>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</si>
  <si>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</si>
  <si>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</si>
  <si>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</si>
  <si>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</si>
  <si>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</si>
  <si>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</si>
  <si>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</si>
  <si>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</si>
  <si>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</si>
  <si>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</si>
  <si>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</si>
  <si>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</si>
  <si>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</si>
  <si>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</si>
  <si>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</si>
  <si>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</si>
  <si>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</si>
  <si>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</si>
  <si>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</si>
  <si>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</si>
  <si>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</si>
  <si>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</si>
  <si>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</si>
  <si>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</si>
  <si>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</si>
  <si>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</si>
  <si>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</si>
  <si>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</si>
  <si>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</si>
  <si>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</si>
  <si>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</si>
  <si>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</si>
  <si>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</si>
  <si>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</si>
  <si>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</si>
  <si>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</si>
  <si>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</si>
  <si>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</si>
  <si>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</si>
  <si>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</si>
  <si>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</si>
  <si>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</si>
  <si>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</si>
  <si>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</si>
  <si>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</si>
  <si>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</si>
  <si>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</si>
  <si>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</si>
  <si>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</si>
  <si>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</si>
  <si>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</si>
  <si>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</si>
  <si>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</si>
  <si>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</si>
  <si>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</si>
  <si>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</si>
  <si>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</si>
  <si>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</si>
  <si>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</si>
  <si>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</si>
  <si>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</si>
  <si>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</si>
  <si>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</si>
  <si>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</si>
  <si>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</si>
  <si>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</si>
  <si>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</si>
  <si>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</si>
  <si>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</si>
  <si>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</si>
  <si>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</si>
  <si>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</si>
  <si>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</si>
  <si>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</si>
  <si>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</si>
  <si>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</si>
  <si>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</si>
  <si>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</si>
  <si>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</si>
  <si>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</si>
  <si>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</si>
  <si>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</si>
  <si>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</si>
  <si>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</si>
  <si>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</si>
  <si>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</si>
  <si>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</si>
  <si>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</si>
  <si>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</si>
  <si>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</si>
  <si>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</si>
  <si>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</si>
  <si>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</si>
  <si>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</si>
  <si>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</si>
  <si>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</si>
  <si>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</si>
  <si>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</si>
  <si>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</si>
  <si>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</si>
  <si>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</si>
  <si>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</si>
  <si>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</si>
  <si>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</si>
  <si>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</si>
  <si>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</si>
  <si>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</si>
  <si>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</si>
  <si>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</si>
  <si>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</si>
  <si>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</si>
  <si>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</si>
  <si>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</si>
  <si>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</si>
  <si>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</si>
  <si>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</si>
  <si>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</si>
  <si>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</si>
  <si>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</si>
  <si>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</si>
  <si>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</si>
  <si>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</si>
  <si>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</si>
  <si>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</si>
  <si>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</si>
  <si>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</si>
  <si>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</si>
  <si>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</si>
  <si>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</si>
  <si>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</si>
  <si>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</si>
  <si>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</si>
  <si>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</si>
  <si>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</si>
  <si>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</si>
  <si>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</si>
  <si>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</si>
  <si>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</si>
  <si>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</si>
  <si>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</si>
  <si>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</si>
  <si>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</si>
  <si>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</si>
  <si>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</si>
  <si>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</si>
  <si>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</si>
  <si>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</si>
  <si>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</si>
  <si>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</si>
  <si>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</si>
  <si>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</si>
  <si>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</si>
  <si>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</si>
  <si>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</si>
  <si>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</si>
  <si>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</si>
  <si>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</si>
  <si>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</si>
  <si>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</si>
  <si>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</si>
  <si>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</si>
  <si>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</si>
  <si>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</si>
  <si>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</si>
  <si>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</si>
  <si>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</si>
  <si>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</si>
  <si>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</si>
  <si>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</si>
  <si>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</si>
  <si>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</si>
  <si>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</si>
  <si>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</si>
  <si>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</si>
  <si>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</si>
  <si>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</si>
  <si>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</si>
  <si>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</si>
  <si>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</si>
  <si>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</si>
  <si>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</si>
  <si>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</si>
  <si>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</si>
  <si>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</si>
  <si>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</si>
  <si>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</si>
  <si>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</si>
  <si>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</si>
  <si>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</si>
  <si>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</si>
  <si>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</si>
  <si>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</si>
  <si>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</si>
  <si>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</si>
  <si>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</si>
  <si>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</si>
  <si>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</si>
  <si>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</si>
  <si>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</si>
  <si>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</si>
  <si>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</si>
  <si>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</si>
  <si>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</si>
  <si>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</si>
  <si>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</si>
  <si>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</si>
  <si>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</si>
  <si>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</si>
  <si>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</si>
  <si>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</si>
  <si>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</si>
  <si>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</si>
  <si>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</si>
  <si>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</si>
  <si>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</si>
  <si>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</si>
  <si>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</si>
  <si>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</si>
  <si>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</si>
  <si>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</si>
  <si>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</si>
  <si>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</si>
  <si>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</si>
  <si>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</si>
  <si>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</si>
  <si>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</si>
  <si>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</si>
  <si>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</si>
  <si>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</si>
  <si>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</si>
  <si>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</si>
  <si>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</si>
  <si>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</si>
  <si>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</si>
  <si>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</si>
  <si>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</si>
  <si>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</si>
  <si>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</si>
  <si>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</si>
  <si>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</si>
  <si>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</si>
  <si>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</si>
  <si>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</si>
  <si>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</si>
  <si>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</si>
  <si>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</si>
  <si>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</si>
  <si>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</si>
  <si>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</si>
  <si>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</si>
  <si>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</si>
  <si>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</si>
  <si>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</si>
  <si>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</si>
  <si>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</si>
  <si>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</si>
  <si>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</si>
  <si>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</si>
  <si>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</si>
  <si>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</si>
  <si>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</si>
  <si>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</si>
  <si>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</si>
  <si>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</si>
  <si>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</si>
  <si>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</si>
  <si>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</si>
  <si>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</si>
  <si>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</si>
  <si>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</si>
  <si>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</si>
  <si>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</si>
  <si>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</si>
  <si>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</si>
  <si>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</si>
  <si>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</si>
  <si>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</si>
  <si>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</si>
  <si>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</si>
  <si>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</si>
  <si>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</si>
  <si>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</si>
  <si>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</si>
  <si>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</si>
  <si>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</si>
  <si>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</si>
  <si>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</si>
  <si>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</si>
  <si>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</si>
  <si>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</si>
  <si>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</si>
  <si>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</si>
  <si>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</si>
  <si>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</si>
  <si>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</si>
  <si>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</si>
  <si>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</si>
  <si>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</si>
  <si>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</si>
  <si>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</si>
  <si>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</si>
  <si>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</si>
  <si>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</si>
  <si>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</si>
  <si>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</si>
  <si>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</si>
  <si>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</si>
  <si>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</si>
  <si>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</si>
  <si>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</si>
  <si>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</si>
  <si>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</si>
  <si>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</si>
  <si>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</si>
  <si>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</si>
  <si>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</si>
  <si>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</si>
  <si>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</si>
  <si>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</si>
  <si>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</si>
  <si>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</si>
  <si>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</si>
  <si>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</si>
  <si>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</si>
  <si>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</si>
  <si>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</si>
  <si>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</si>
  <si>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</si>
  <si>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</si>
  <si>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</si>
  <si>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</si>
  <si>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</si>
  <si>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</si>
  <si>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</si>
  <si>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</si>
  <si>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</si>
  <si>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</si>
  <si>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</si>
  <si>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</si>
  <si>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</si>
  <si>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</si>
  <si>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</si>
  <si>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</si>
  <si>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</si>
  <si>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</si>
  <si>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</si>
  <si>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</si>
  <si>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</si>
  <si>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</si>
  <si>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</si>
  <si>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</si>
  <si>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</si>
  <si>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</si>
  <si>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</si>
  <si>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</si>
  <si>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</si>
  <si>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</si>
  <si>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</si>
  <si>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</si>
  <si>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</si>
  <si>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</si>
  <si>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</si>
  <si>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</si>
  <si>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</si>
  <si>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</si>
  <si>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</si>
  <si>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</si>
  <si>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</si>
  <si>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</si>
  <si>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</si>
  <si>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</si>
  <si>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</si>
  <si>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</si>
  <si>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</si>
  <si>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</si>
  <si>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</si>
  <si>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</si>
  <si>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</si>
  <si>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</si>
  <si>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</si>
  <si>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</si>
  <si>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</si>
  <si>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</si>
  <si>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</si>
  <si>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</si>
  <si>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</si>
  <si>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</si>
  <si>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</si>
  <si>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</si>
  <si>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</si>
  <si>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</si>
  <si>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</si>
  <si>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</si>
  <si>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</si>
  <si>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</si>
  <si>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</si>
  <si>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</si>
  <si>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</si>
  <si>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</si>
  <si>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</si>
  <si>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</si>
  <si>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</si>
  <si>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</si>
  <si>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</si>
  <si>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</si>
  <si>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</si>
  <si>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</si>
  <si>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</si>
  <si>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</si>
  <si>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</si>
  <si>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</si>
  <si>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</si>
  <si>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</si>
  <si>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</si>
  <si>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</si>
  <si>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</si>
  <si>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</si>
  <si>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</si>
  <si>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</si>
  <si>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</si>
  <si>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</si>
  <si>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</si>
  <si>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</si>
  <si>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</si>
  <si>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</si>
  <si>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</si>
  <si>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</si>
  <si>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</si>
  <si>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</si>
  <si>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</si>
  <si>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</si>
  <si>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</si>
  <si>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</si>
  <si>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</si>
  <si>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</si>
  <si>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</si>
  <si>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</si>
  <si>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</si>
  <si>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</si>
  <si>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</si>
  <si>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</si>
  <si>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</si>
  <si>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</si>
  <si>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</si>
  <si>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</si>
  <si>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</si>
  <si>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</si>
  <si>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</si>
  <si>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</si>
  <si>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</si>
  <si>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</si>
  <si>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</si>
  <si>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</si>
  <si>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</si>
  <si>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</si>
  <si>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</si>
  <si>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</si>
  <si>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</si>
  <si>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</si>
  <si>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</si>
  <si>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</si>
  <si>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</si>
  <si>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</si>
  <si>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</si>
  <si>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</si>
  <si>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</si>
  <si>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</si>
  <si>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</si>
  <si>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</si>
  <si>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</si>
  <si>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</si>
  <si>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</si>
  <si>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</si>
  <si>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</si>
  <si>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</si>
  <si>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</si>
  <si>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</si>
  <si>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</si>
  <si>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</si>
  <si>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</si>
  <si>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</si>
  <si>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</si>
  <si>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</si>
  <si>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</si>
  <si>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</si>
  <si>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</si>
  <si>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</si>
  <si>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</si>
  <si>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</si>
  <si>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</si>
  <si>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</si>
  <si>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</si>
  <si>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</si>
  <si>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</si>
  <si>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</si>
  <si>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</si>
  <si>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</si>
  <si>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</si>
  <si>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</si>
  <si>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</si>
  <si>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</si>
  <si>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</si>
  <si>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</si>
  <si>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</si>
  <si>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</si>
  <si>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</si>
  <si>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</si>
  <si>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</si>
  <si>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</si>
  <si>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</si>
  <si>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</si>
  <si>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</si>
  <si>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</si>
  <si>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</si>
  <si>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</si>
  <si>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</si>
  <si>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</si>
  <si>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</si>
  <si>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</si>
  <si>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</si>
  <si>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</si>
  <si>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</si>
  <si>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</si>
  <si>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</si>
  <si>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</si>
  <si>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</si>
  <si>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</si>
  <si>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</si>
  <si>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</si>
  <si>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</si>
  <si>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</si>
  <si>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</si>
  <si>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</si>
  <si>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</si>
  <si>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</si>
  <si>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</si>
  <si>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</si>
  <si>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</si>
  <si>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</si>
  <si>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</si>
  <si>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</si>
  <si>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</si>
  <si>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</si>
  <si>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</si>
  <si>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</si>
  <si>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</si>
  <si>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</si>
  <si>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</si>
  <si>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</si>
  <si>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</si>
  <si>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</si>
  <si>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</si>
  <si>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</si>
  <si>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</si>
  <si>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</si>
  <si>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</si>
  <si>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</si>
  <si>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</si>
  <si>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</si>
  <si>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</si>
  <si>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</si>
  <si>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</si>
  <si>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</si>
  <si>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</si>
  <si>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</si>
  <si>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</si>
  <si>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</si>
  <si>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</si>
  <si>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</si>
  <si>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</si>
  <si>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</si>
  <si>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</si>
  <si>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</si>
  <si>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</si>
  <si>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</si>
  <si>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</si>
  <si>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</si>
  <si>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</si>
  <si>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</si>
  <si>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</si>
  <si>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</si>
  <si>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</si>
  <si>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</si>
  <si>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</si>
  <si>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</si>
  <si>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</si>
  <si>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</si>
  <si>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</si>
  <si>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</si>
  <si>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</si>
  <si>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</si>
  <si>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</si>
  <si>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</si>
  <si>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</si>
  <si>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</si>
  <si>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</si>
  <si>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</si>
  <si>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</si>
  <si>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</si>
  <si>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</si>
  <si>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</si>
  <si>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</si>
  <si>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</si>
  <si>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</si>
  <si>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</si>
  <si>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</si>
  <si>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</si>
  <si>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</si>
  <si>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</si>
  <si>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</si>
  <si>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</si>
  <si>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</si>
  <si>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</si>
  <si>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</si>
  <si>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</si>
  <si>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</si>
  <si>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</si>
  <si>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</si>
  <si>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</si>
  <si>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</si>
  <si>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</si>
  <si>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</si>
  <si>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</si>
  <si>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</si>
  <si>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</si>
  <si>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</si>
  <si>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</si>
  <si>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</si>
  <si>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</si>
  <si>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</si>
  <si>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</si>
  <si>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</si>
  <si>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</si>
  <si>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</si>
  <si>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</si>
  <si>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</si>
  <si>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</si>
  <si>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</si>
  <si>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</si>
  <si>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</si>
  <si>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</si>
  <si>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</si>
  <si>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</si>
  <si>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</si>
  <si>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</si>
  <si>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</si>
  <si>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</si>
  <si>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</si>
  <si>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</si>
  <si>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</si>
  <si>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</si>
  <si>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</si>
  <si>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</si>
  <si>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</si>
  <si>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</si>
  <si>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</si>
  <si>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</si>
  <si>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</si>
  <si>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</si>
  <si>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</si>
  <si>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</si>
  <si>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</si>
  <si>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</si>
  <si>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</si>
  <si>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</si>
  <si>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</si>
  <si>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</si>
  <si>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</si>
  <si>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</si>
  <si>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</si>
  <si>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</si>
  <si>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</si>
  <si>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</si>
  <si>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</si>
  <si>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</si>
  <si>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</si>
  <si>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</si>
  <si>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</si>
  <si>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</si>
  <si>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</si>
  <si>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</si>
  <si>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</si>
  <si>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</si>
  <si>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</si>
  <si>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</si>
  <si>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</si>
  <si>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</si>
  <si>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</si>
  <si>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</si>
  <si>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</si>
  <si>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</si>
  <si>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</si>
  <si>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</si>
  <si>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</si>
  <si>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</si>
  <si>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</si>
  <si>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</si>
  <si>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</si>
  <si>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</si>
  <si>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</si>
  <si>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</si>
  <si>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</si>
  <si>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</si>
  <si>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</si>
  <si>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</si>
  <si>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</si>
  <si>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</si>
  <si>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</si>
  <si>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</si>
  <si>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</si>
  <si>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</si>
  <si>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</si>
  <si>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</si>
  <si>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</si>
  <si>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</si>
  <si>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</si>
  <si>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</si>
  <si>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</si>
  <si>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</si>
  <si>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</si>
  <si>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</si>
  <si>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</si>
  <si>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</si>
  <si>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</si>
  <si>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</si>
  <si>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</si>
  <si>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</si>
  <si>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</si>
  <si>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</si>
  <si>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</si>
  <si>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</si>
  <si>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</si>
  <si>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</si>
  <si>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</si>
  <si>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</si>
  <si>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</si>
  <si>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</si>
  <si>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</si>
  <si>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</si>
  <si>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</si>
  <si>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</si>
  <si>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</si>
  <si>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</si>
  <si>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</si>
  <si>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</si>
  <si>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</si>
  <si>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</si>
  <si>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</si>
  <si>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</si>
  <si>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</si>
  <si>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</si>
  <si>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</si>
  <si>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</si>
  <si>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</si>
  <si>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</si>
  <si>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</si>
  <si>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</si>
  <si>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</si>
  <si>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</si>
  <si>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</si>
  <si>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</si>
  <si>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</si>
  <si>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</si>
  <si>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</si>
  <si>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</si>
  <si>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</si>
  <si>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</si>
  <si>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</si>
  <si>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</si>
  <si>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</si>
  <si>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</si>
  <si>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</si>
  <si>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</si>
  <si>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</si>
  <si>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</si>
  <si>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</si>
  <si>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</si>
  <si>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</si>
  <si>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</si>
  <si>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</si>
  <si>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</si>
  <si>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</si>
  <si>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</si>
  <si>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</si>
  <si>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</si>
  <si>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</si>
  <si>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</si>
  <si>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</si>
  <si>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</si>
  <si>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</si>
  <si>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</si>
  <si>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</si>
  <si>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</si>
  <si>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</si>
  <si>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</si>
  <si>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</si>
  <si>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</si>
  <si>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</si>
  <si>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</si>
  <si>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</si>
  <si>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</si>
  <si>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</si>
  <si>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</si>
  <si>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</si>
  <si>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</si>
  <si>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</si>
  <si>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</si>
  <si>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</si>
  <si>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</si>
  <si>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</si>
  <si>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</si>
  <si>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</si>
  <si>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</si>
  <si>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</si>
  <si>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</si>
  <si>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</si>
  <si>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</si>
  <si>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</si>
  <si>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</si>
  <si>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</si>
  <si>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</si>
  <si>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</si>
  <si>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</si>
  <si>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</si>
  <si>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</si>
  <si>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</si>
  <si>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</si>
  <si>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</si>
  <si>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</si>
  <si>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</si>
  <si>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</si>
  <si>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</si>
  <si>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</si>
  <si>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</si>
  <si>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</si>
  <si>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</si>
  <si>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</si>
  <si>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</si>
  <si>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</si>
  <si>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</si>
  <si>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</si>
  <si>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</si>
  <si>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</si>
  <si>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</si>
  <si>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</si>
  <si>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</si>
  <si>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</si>
  <si>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</si>
  <si>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</si>
  <si>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</si>
  <si>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</si>
  <si>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</si>
  <si>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</si>
  <si>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</si>
  <si>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</si>
  <si>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</si>
  <si>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</si>
  <si>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</si>
  <si>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</si>
  <si>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</si>
  <si>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</si>
  <si>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</si>
  <si>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</si>
  <si>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</si>
  <si>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</si>
  <si>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</si>
  <si>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</si>
  <si>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</si>
  <si>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</si>
  <si>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</si>
  <si>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</si>
  <si>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</si>
  <si>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</si>
  <si>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</si>
  <si>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</si>
  <si>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</si>
  <si>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</si>
  <si>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</si>
  <si>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</si>
  <si>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</si>
  <si>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</si>
  <si>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</si>
  <si>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</si>
  <si>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</si>
  <si>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</si>
  <si>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</si>
  <si>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</si>
  <si>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</si>
  <si>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</si>
  <si>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</si>
  <si>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</si>
  <si>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</si>
  <si>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</si>
  <si>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</si>
  <si>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</si>
  <si>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</si>
  <si>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</si>
  <si>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</si>
  <si>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</si>
  <si>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</si>
  <si>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</si>
  <si>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</si>
  <si>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</si>
  <si>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</si>
  <si>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</si>
  <si>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</si>
  <si>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</si>
  <si>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</si>
  <si>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</si>
  <si>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</si>
  <si>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</si>
  <si>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</si>
  <si>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</si>
  <si>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</si>
  <si>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</si>
  <si>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</si>
  <si>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</si>
  <si>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</si>
  <si>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</si>
  <si>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</si>
  <si>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</si>
  <si>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</si>
  <si>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</si>
  <si>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</si>
  <si>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</si>
  <si>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</si>
  <si>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</si>
  <si>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</si>
  <si>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</si>
  <si>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</si>
  <si>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</si>
  <si>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</si>
  <si>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</si>
  <si>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</si>
  <si>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</si>
  <si>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</si>
  <si>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</si>
  <si>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</si>
  <si>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</si>
  <si>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</si>
  <si>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</si>
  <si>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</si>
  <si>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</si>
  <si>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</si>
  <si>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</si>
  <si>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</si>
  <si>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</si>
  <si>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</si>
  <si>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</si>
  <si>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</si>
  <si>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</si>
  <si>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</si>
  <si>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</si>
  <si>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</si>
  <si>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</si>
  <si>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</si>
  <si>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</si>
  <si>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</si>
  <si>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</si>
  <si>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</si>
  <si>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</si>
  <si>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</si>
  <si>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</si>
  <si>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</si>
  <si>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</si>
  <si>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</si>
  <si>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</si>
  <si>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</si>
  <si>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</si>
  <si>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</si>
  <si>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</si>
  <si>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</si>
  <si>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</si>
  <si>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</si>
  <si>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</si>
  <si>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</si>
  <si>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</si>
  <si>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</si>
  <si>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</si>
  <si>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</si>
  <si>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</si>
  <si>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</si>
  <si>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</si>
  <si>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</si>
  <si>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</si>
  <si>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</si>
  <si>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</si>
  <si>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</si>
  <si>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</si>
  <si>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</si>
  <si>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</si>
  <si>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</si>
  <si>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</si>
  <si>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</si>
  <si>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</si>
  <si>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</si>
  <si>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</si>
  <si>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</si>
  <si>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</si>
  <si>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</si>
  <si>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</si>
  <si>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</si>
  <si>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</si>
  <si>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</si>
  <si>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</si>
  <si>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</si>
  <si>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</si>
  <si>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</si>
  <si>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</si>
  <si>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</si>
  <si>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</si>
  <si>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</si>
  <si>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</si>
  <si>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</si>
  <si>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</si>
  <si>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</si>
  <si>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</si>
  <si>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</si>
  <si>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</si>
  <si>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</si>
  <si>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</si>
  <si>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</si>
  <si>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</si>
  <si>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</si>
  <si>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</si>
  <si>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</si>
  <si>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</si>
  <si>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</si>
  <si>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</si>
  <si>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</si>
  <si>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</si>
  <si>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</si>
  <si>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</si>
  <si>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</si>
  <si>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</si>
  <si>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</si>
  <si>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</si>
  <si>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</si>
  <si>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</si>
  <si>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</si>
  <si>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</si>
  <si>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</si>
  <si>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</si>
  <si>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</si>
  <si>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</si>
  <si>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</si>
  <si>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</si>
  <si>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</si>
  <si>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</si>
  <si>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</si>
  <si>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</si>
  <si>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</si>
  <si>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</si>
  <si>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</si>
  <si>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</si>
  <si>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</si>
  <si>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</si>
  <si>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</si>
  <si>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</si>
  <si>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</si>
  <si>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</si>
  <si>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</si>
  <si>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</si>
  <si>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</si>
  <si>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</si>
  <si>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</si>
  <si>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</si>
  <si>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</si>
  <si>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</si>
  <si>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</si>
  <si>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</si>
  <si>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</si>
  <si>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</si>
  <si>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</si>
  <si>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</si>
  <si>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</si>
  <si>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</si>
  <si>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</si>
  <si>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</si>
  <si>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</si>
  <si>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</si>
  <si>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</si>
  <si>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</si>
  <si>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</si>
  <si>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</si>
  <si>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</si>
  <si>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</si>
  <si>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</si>
  <si>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</si>
  <si>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</si>
  <si>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</si>
  <si>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</si>
  <si>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</si>
  <si>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</si>
  <si>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</si>
  <si>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</si>
  <si>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</si>
  <si>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</si>
  <si>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</si>
  <si>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</si>
  <si>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</si>
  <si>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</si>
  <si>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</si>
  <si>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</si>
  <si>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</si>
  <si>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</si>
  <si>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</si>
  <si>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</si>
  <si>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</si>
  <si>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</si>
  <si>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</si>
  <si>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</si>
  <si>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</si>
  <si>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</si>
  <si>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</si>
  <si>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</si>
  <si>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</si>
  <si>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</si>
  <si>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</si>
  <si>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</si>
  <si>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</si>
  <si>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</si>
  <si>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</si>
  <si>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</si>
  <si>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</si>
  <si>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</si>
  <si>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</si>
  <si>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</si>
  <si>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</si>
  <si>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</si>
  <si>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</si>
  <si>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</si>
  <si>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</si>
  <si>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</si>
  <si>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</si>
  <si>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</si>
  <si>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</si>
  <si>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</si>
  <si>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</si>
  <si>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</si>
  <si>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</si>
  <si>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</si>
  <si>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</si>
  <si>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</si>
  <si>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</si>
  <si>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</si>
  <si>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</si>
  <si>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</si>
  <si>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</si>
  <si>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</si>
  <si>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</si>
  <si>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</si>
  <si>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</si>
  <si>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</si>
  <si>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</si>
  <si>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</si>
  <si>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</si>
  <si>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</si>
  <si>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</si>
  <si>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</si>
  <si>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</si>
  <si>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</si>
  <si>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</si>
  <si>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</si>
  <si>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</si>
  <si>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</si>
  <si>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</si>
  <si>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</si>
  <si>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</si>
  <si>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</si>
  <si>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</si>
  <si>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</si>
  <si>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</si>
  <si>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</si>
  <si>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</si>
  <si>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</si>
  <si>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</si>
  <si>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</si>
  <si>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</si>
  <si>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</si>
  <si>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</si>
  <si>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</si>
  <si>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</si>
  <si>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</si>
  <si>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</si>
  <si>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</si>
  <si>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</si>
  <si>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</si>
  <si>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</si>
  <si>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</si>
  <si>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</si>
  <si>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</si>
  <si>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</si>
  <si>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</si>
  <si>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</si>
  <si>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</si>
  <si>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</si>
  <si>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</si>
  <si>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</si>
  <si>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</si>
  <si>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</si>
  <si>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</si>
  <si>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</si>
  <si>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</si>
  <si>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</si>
  <si>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</si>
  <si>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</si>
  <si>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</si>
  <si>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</si>
  <si>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</si>
  <si>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</si>
  <si>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</si>
  <si>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</si>
  <si>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</si>
  <si>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</si>
  <si>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</si>
  <si>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</si>
  <si>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</si>
  <si>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</si>
  <si>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</si>
  <si>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</si>
  <si>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</si>
  <si>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</si>
  <si>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</si>
  <si>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</si>
  <si>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</si>
  <si>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</si>
  <si>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</si>
  <si>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</si>
  <si>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</si>
  <si>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</si>
  <si>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</si>
  <si>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</si>
  <si>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</si>
  <si>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</si>
  <si>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</si>
  <si>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</si>
  <si>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</si>
  <si>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</si>
  <si>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</si>
  <si>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</si>
  <si>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</si>
  <si>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</si>
  <si>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</si>
  <si>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</si>
  <si>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</si>
  <si>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</si>
  <si>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</si>
  <si>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</si>
  <si>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</si>
  <si>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</si>
  <si>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</si>
  <si>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</si>
  <si>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</si>
  <si>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</si>
  <si>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</si>
  <si>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</si>
  <si>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</si>
  <si>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</si>
  <si>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</si>
  <si>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</si>
  <si>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</si>
  <si>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</si>
  <si>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</si>
  <si>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</si>
  <si>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</si>
  <si>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</si>
  <si>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</si>
  <si>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</si>
  <si>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</si>
  <si>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</si>
  <si>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</si>
  <si>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</si>
  <si>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</si>
  <si>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</si>
  <si>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</si>
  <si>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</si>
  <si>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</si>
  <si>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</si>
  <si>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</si>
  <si>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</si>
  <si>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</si>
  <si>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</si>
  <si>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</si>
  <si>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</si>
  <si>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</si>
  <si>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</si>
  <si>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</si>
  <si>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</si>
  <si>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</si>
  <si>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</si>
  <si>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</si>
  <si>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</si>
  <si>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</si>
  <si>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</si>
  <si>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</si>
  <si>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</si>
  <si>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</si>
  <si>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</si>
  <si>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</si>
  <si>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</si>
  <si>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</si>
  <si>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</si>
  <si>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</si>
  <si>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</si>
  <si>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</si>
  <si>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</si>
  <si>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</si>
  <si>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</si>
  <si>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</si>
  <si>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</si>
  <si>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</si>
  <si>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</si>
  <si>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</si>
  <si>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</si>
  <si>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</si>
  <si>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</si>
  <si>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</si>
  <si>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</si>
  <si>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</si>
  <si>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</si>
  <si>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</si>
  <si>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</si>
  <si>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</si>
  <si>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</si>
  <si>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</si>
  <si>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</si>
  <si>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</si>
  <si>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</si>
  <si>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</si>
  <si>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</si>
  <si>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</si>
  <si>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</si>
  <si>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</si>
  <si>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</si>
  <si>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</si>
  <si>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</si>
  <si>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</si>
  <si>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</si>
  <si>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</si>
  <si>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</si>
  <si>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</si>
  <si>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</si>
  <si>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</si>
  <si>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</si>
  <si>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</si>
  <si>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</si>
  <si>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</si>
  <si>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</si>
  <si>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</si>
  <si>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</si>
  <si>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</si>
  <si>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</si>
  <si>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</si>
  <si>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</si>
  <si>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</si>
  <si>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</si>
  <si>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</si>
  <si>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</si>
  <si>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</si>
  <si>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</si>
  <si>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</si>
  <si>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</si>
  <si>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</si>
  <si>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</si>
  <si>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</si>
  <si>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</si>
  <si>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</si>
  <si>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</si>
  <si>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</si>
  <si>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</si>
  <si>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</si>
  <si>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</si>
  <si>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</si>
  <si>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</si>
  <si>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</si>
  <si>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</si>
  <si>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</si>
  <si>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</si>
  <si>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</si>
  <si>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</si>
  <si>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</si>
  <si>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</si>
  <si>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</si>
  <si>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</si>
  <si>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</si>
  <si>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</si>
  <si>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</si>
  <si>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</si>
  <si>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</si>
  <si>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</si>
  <si>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</si>
  <si>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</si>
  <si>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</si>
  <si>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</si>
  <si>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</si>
  <si>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</si>
  <si>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</si>
  <si>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</si>
  <si>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</si>
  <si>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</si>
  <si>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</si>
  <si>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</si>
  <si>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</si>
  <si>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</si>
  <si>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</si>
  <si>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</si>
  <si>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</si>
  <si>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</si>
  <si>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</si>
  <si>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</si>
  <si>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</si>
  <si>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</si>
  <si>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</si>
  <si>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</si>
  <si>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</si>
  <si>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</si>
  <si>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</si>
  <si>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</si>
  <si>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</si>
  <si>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</si>
  <si>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</si>
  <si>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</si>
  <si>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</si>
  <si>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</si>
  <si>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</si>
  <si>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</si>
  <si>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</si>
  <si>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</si>
  <si>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</si>
  <si>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</si>
  <si>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</si>
  <si>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</si>
  <si>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</si>
  <si>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</si>
  <si>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</si>
  <si>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</si>
  <si>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</si>
  <si>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</si>
  <si>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</si>
  <si>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</si>
  <si>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</si>
  <si>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</si>
  <si>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</si>
  <si>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</si>
  <si>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</si>
  <si>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</si>
  <si>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</si>
  <si>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</si>
  <si>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</si>
  <si>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</si>
  <si>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</si>
  <si>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</si>
  <si>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</si>
  <si>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</si>
  <si>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</si>
  <si>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</si>
  <si>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</si>
  <si>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</si>
  <si>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</si>
  <si>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</si>
  <si>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</si>
  <si>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</si>
  <si>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</si>
  <si>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</si>
  <si>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</si>
  <si>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</si>
  <si>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</si>
  <si>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</si>
  <si>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</si>
  <si>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</si>
  <si>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</si>
  <si>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</si>
  <si>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</si>
  <si>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</si>
  <si>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</si>
  <si>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</si>
  <si>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</si>
  <si>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</si>
  <si>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</si>
  <si>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</si>
  <si>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</si>
  <si>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</si>
  <si>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</si>
  <si>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</si>
  <si>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</si>
  <si>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</si>
  <si>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</si>
  <si>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</si>
  <si>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</si>
  <si>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</si>
  <si>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</si>
  <si>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</si>
  <si>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</si>
  <si>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</si>
  <si>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</si>
  <si>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</si>
  <si>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</si>
  <si>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</si>
  <si>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</si>
  <si>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</si>
  <si>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</si>
  <si>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</si>
  <si>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</si>
  <si>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</si>
  <si>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</si>
  <si>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</si>
  <si>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</si>
  <si>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</si>
  <si>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</si>
  <si>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</si>
  <si>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</si>
  <si>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</si>
  <si>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</si>
  <si>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</si>
  <si>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</si>
  <si>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</si>
  <si>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</si>
  <si>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</si>
  <si>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</si>
  <si>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</si>
  <si>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</si>
  <si>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</si>
  <si>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</si>
  <si>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</si>
  <si>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</si>
  <si>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</si>
  <si>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</si>
  <si>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</si>
  <si>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</si>
  <si>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</si>
  <si>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</si>
  <si>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</si>
  <si>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</si>
  <si>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</si>
  <si>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</si>
  <si>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</si>
  <si>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</si>
  <si>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</si>
  <si>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</si>
  <si>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</si>
  <si>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</si>
  <si>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</si>
  <si>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</si>
  <si>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</si>
  <si>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</si>
  <si>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</si>
  <si>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</si>
  <si>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</si>
  <si>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</si>
  <si>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</si>
  <si>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</si>
  <si>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</si>
  <si>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</si>
  <si>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</si>
  <si>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</si>
  <si>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</si>
  <si>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</si>
  <si>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</si>
  <si>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</si>
  <si>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</si>
  <si>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</si>
  <si>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</si>
  <si>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</si>
  <si>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</si>
  <si>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</si>
  <si>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</si>
  <si>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</si>
  <si>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</si>
  <si>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</si>
  <si>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</si>
  <si>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</si>
  <si>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</si>
  <si>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</si>
  <si>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</si>
  <si>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</si>
  <si>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</si>
  <si>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</si>
  <si>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</si>
  <si>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</si>
  <si>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</si>
  <si>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</si>
  <si>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</si>
  <si>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</si>
  <si>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</si>
  <si>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</si>
  <si>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</si>
  <si>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</si>
  <si>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</si>
  <si>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</si>
  <si>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</si>
  <si>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</si>
  <si>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</si>
  <si>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</si>
  <si>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</si>
  <si>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</si>
  <si>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</si>
  <si>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</si>
  <si>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</si>
  <si>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</si>
  <si>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</si>
  <si>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</si>
  <si>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</si>
  <si>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</si>
  <si>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</si>
  <si>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</si>
  <si>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</si>
  <si>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</si>
  <si>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</si>
  <si>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</si>
  <si>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</si>
  <si>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</si>
  <si>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</si>
  <si>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</si>
  <si>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</si>
  <si>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</si>
  <si>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</si>
  <si>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</si>
  <si>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</si>
  <si>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</si>
  <si>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</si>
  <si>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</si>
  <si>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</si>
  <si>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</si>
  <si>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</si>
  <si>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</si>
  <si>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</si>
  <si>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</si>
  <si>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</si>
  <si>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</si>
  <si>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</si>
  <si>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</si>
  <si>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</si>
  <si>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</si>
  <si>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</si>
  <si>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</si>
  <si>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</si>
  <si>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</si>
  <si>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</si>
  <si>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</si>
  <si>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</si>
  <si>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</si>
  <si>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</si>
  <si>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</si>
  <si>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</si>
  <si>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</si>
  <si>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</si>
  <si>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</si>
  <si>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</si>
  <si>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</si>
  <si>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</si>
  <si>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</si>
  <si>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</si>
  <si>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</si>
  <si>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</si>
  <si>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</si>
  <si>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</si>
  <si>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</si>
  <si>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</si>
  <si>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</si>
  <si>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</si>
  <si>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</si>
  <si>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</si>
  <si>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</si>
  <si>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</si>
  <si>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</si>
  <si>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</si>
  <si>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</si>
  <si>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</si>
  <si>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</si>
  <si>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</si>
  <si>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</si>
  <si>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</si>
  <si>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</si>
  <si>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</si>
  <si>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</si>
  <si>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</si>
  <si>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</si>
  <si>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</si>
  <si>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</si>
  <si>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</si>
  <si>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</si>
  <si>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</si>
  <si>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</si>
  <si>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</si>
  <si>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</si>
  <si>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</si>
  <si>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</si>
  <si>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</si>
  <si>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</si>
  <si>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</si>
  <si>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</si>
  <si>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</si>
  <si>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</si>
  <si>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</si>
  <si>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</si>
  <si>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</si>
  <si>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</si>
  <si>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</si>
  <si>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</si>
  <si>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</si>
  <si>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</si>
  <si>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</si>
  <si>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</si>
  <si>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</si>
  <si>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</si>
  <si>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</si>
  <si>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</si>
  <si>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</si>
  <si>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</si>
  <si>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</si>
  <si>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</si>
  <si>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</si>
  <si>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</si>
  <si>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</si>
  <si>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</si>
  <si>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</si>
  <si>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</si>
  <si>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</si>
  <si>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</si>
  <si>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</si>
  <si>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</si>
  <si>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</si>
  <si>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</si>
  <si>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</si>
  <si>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</si>
  <si>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</si>
  <si>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</si>
  <si>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</si>
  <si>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</si>
  <si>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</si>
  <si>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</si>
  <si>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</si>
  <si>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</si>
  <si>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</si>
  <si>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</si>
  <si>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</si>
  <si>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</si>
  <si>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</si>
  <si>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</si>
  <si>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</si>
  <si>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</si>
  <si>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</si>
  <si>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</si>
  <si>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</si>
  <si>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</si>
  <si>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</si>
  <si>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</si>
  <si>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</si>
  <si>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</si>
  <si>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</si>
  <si>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</si>
  <si>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</si>
  <si>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</si>
  <si>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</si>
  <si>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</si>
  <si>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</si>
  <si>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</si>
  <si>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</si>
  <si>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</si>
  <si>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</si>
  <si>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</si>
  <si>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</si>
  <si>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</si>
  <si>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</si>
  <si>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</si>
  <si>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</si>
  <si>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</si>
  <si>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</si>
  <si>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</si>
  <si>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</si>
  <si>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</si>
  <si>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</si>
  <si>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</si>
  <si>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</si>
  <si>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</si>
  <si>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</si>
  <si>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</si>
  <si>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</si>
  <si>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</si>
  <si>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</si>
  <si>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</si>
  <si>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</si>
  <si>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</si>
  <si>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</si>
  <si>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</si>
  <si>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</si>
  <si>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</si>
  <si>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</si>
  <si>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</si>
  <si>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</si>
  <si>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</si>
  <si>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</si>
  <si>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</si>
  <si>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</si>
  <si>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</si>
  <si>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</si>
  <si>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</si>
  <si>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</si>
  <si>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</si>
  <si>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</si>
  <si>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</si>
  <si>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</si>
  <si>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</si>
  <si>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</si>
  <si>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</si>
  <si>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</si>
  <si>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</si>
  <si>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</si>
  <si>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</si>
  <si>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</si>
  <si>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</si>
  <si>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</si>
  <si>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</si>
  <si>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</si>
  <si>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</si>
  <si>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</si>
  <si>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</si>
  <si>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</si>
  <si>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</si>
  <si>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</si>
  <si>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</si>
  <si>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</si>
  <si>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</si>
  <si>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</si>
  <si>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</si>
  <si>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</si>
  <si>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</si>
  <si>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</si>
  <si>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</si>
  <si>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</si>
  <si>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</si>
  <si>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</si>
  <si>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</si>
  <si>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</si>
  <si>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</si>
  <si>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</si>
  <si>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</si>
  <si>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</si>
  <si>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</si>
  <si>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</si>
  <si>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</si>
  <si>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</si>
  <si>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</si>
  <si>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</si>
  <si>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</si>
  <si>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</si>
  <si>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</si>
  <si>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</si>
  <si>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</si>
  <si>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</si>
  <si>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</si>
  <si>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</si>
  <si>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</si>
  <si>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</si>
  <si>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</si>
  <si>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</si>
  <si>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</si>
  <si>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</si>
  <si>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</si>
  <si>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</si>
  <si>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</si>
  <si>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</si>
  <si>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</si>
  <si>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</si>
  <si>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</si>
  <si>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</si>
  <si>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</si>
  <si>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</si>
  <si>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</si>
  <si>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</si>
  <si>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</si>
  <si>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</si>
  <si>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</si>
  <si>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</si>
  <si>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</si>
  <si>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</si>
  <si>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</si>
  <si>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</si>
  <si>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</si>
  <si>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</si>
  <si>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</si>
  <si>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</si>
  <si>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</si>
  <si>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</si>
  <si>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</si>
  <si>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</si>
  <si>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</si>
  <si>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</si>
  <si>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</si>
  <si>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</si>
  <si>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</si>
  <si>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</si>
  <si>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</si>
  <si>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</si>
  <si>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</si>
  <si>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</si>
  <si>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</si>
  <si>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</si>
  <si>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</si>
  <si>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</si>
  <si>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</si>
  <si>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</si>
  <si>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</si>
  <si>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</si>
  <si>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</si>
  <si>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</si>
  <si>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</si>
  <si>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</si>
  <si>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</si>
  <si>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</si>
  <si>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</si>
  <si>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</si>
  <si>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</si>
  <si>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</si>
  <si>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</si>
  <si>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</si>
  <si>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</si>
  <si>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</si>
  <si>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</si>
  <si>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</si>
  <si>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</si>
  <si>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</si>
  <si>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</si>
  <si>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</si>
  <si>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</si>
  <si>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</si>
  <si>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</si>
  <si>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</si>
  <si>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</si>
  <si>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</si>
  <si>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</si>
  <si>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</si>
  <si>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</si>
  <si>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</si>
  <si>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</si>
  <si>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</si>
  <si>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</si>
  <si>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</si>
  <si>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</si>
  <si>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</si>
  <si>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</si>
  <si>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</si>
  <si>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</si>
  <si>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</si>
  <si>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</si>
  <si>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</si>
  <si>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</si>
  <si>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</si>
  <si>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</si>
  <si>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</si>
  <si>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</si>
  <si>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</si>
  <si>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</si>
  <si>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</si>
  <si>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</si>
  <si>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</si>
  <si>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</si>
  <si>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</si>
  <si>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</si>
  <si>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</si>
  <si>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</si>
  <si>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</si>
  <si>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</si>
  <si>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</si>
  <si>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</si>
  <si>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</si>
  <si>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</si>
  <si>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</si>
  <si>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</si>
  <si>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</si>
  <si>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</si>
  <si>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</si>
  <si>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</si>
  <si>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</si>
  <si>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</si>
  <si>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</si>
  <si>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</si>
  <si>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</si>
  <si>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</si>
  <si>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</si>
  <si>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</si>
  <si>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</si>
  <si>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</si>
  <si>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</si>
  <si>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</si>
  <si>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</si>
  <si>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</si>
  <si>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</si>
  <si>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</si>
  <si>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</si>
  <si>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</si>
  <si>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</si>
  <si>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</si>
  <si>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</si>
  <si>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</si>
  <si>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</si>
  <si>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</si>
  <si>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</si>
  <si>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</si>
  <si>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</si>
  <si>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</si>
  <si>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</si>
  <si>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</si>
  <si>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</si>
  <si>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</si>
  <si>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</si>
  <si>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</si>
  <si>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</si>
  <si>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</si>
  <si>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</si>
  <si>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</si>
  <si>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</si>
  <si>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</si>
  <si>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</si>
  <si>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</si>
  <si>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</si>
  <si>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</si>
  <si>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</si>
  <si>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</si>
  <si>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</si>
  <si>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</si>
  <si>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</si>
  <si>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</si>
  <si>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</si>
  <si>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</si>
  <si>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</si>
  <si>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</si>
  <si>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</si>
  <si>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</si>
  <si>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</si>
  <si>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</si>
  <si>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</si>
  <si>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</si>
  <si>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</si>
  <si>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</si>
  <si>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</si>
  <si>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</si>
  <si>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</si>
  <si>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</si>
  <si>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</si>
  <si>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</si>
  <si>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</si>
  <si>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</si>
  <si>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</si>
  <si>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</si>
  <si>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</si>
  <si>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</si>
  <si>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</si>
  <si>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</si>
  <si>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</si>
  <si>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</si>
  <si>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</si>
  <si>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</si>
  <si>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</si>
  <si>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</si>
  <si>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</si>
  <si>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</si>
  <si>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</si>
  <si>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</si>
  <si>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</si>
  <si>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</si>
  <si>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</si>
  <si>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</si>
  <si>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</si>
  <si>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</si>
  <si>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</si>
  <si>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</si>
  <si>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</si>
  <si>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</si>
  <si>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</si>
  <si>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</si>
  <si>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</si>
  <si>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</si>
  <si>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</si>
  <si>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</si>
  <si>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</si>
  <si>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</si>
  <si>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</si>
  <si>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</si>
  <si>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</si>
  <si>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</si>
  <si>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</si>
  <si>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</si>
  <si>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</si>
  <si>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</si>
  <si>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</si>
  <si>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</si>
  <si>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</si>
  <si>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</si>
  <si>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</si>
  <si>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</si>
  <si>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</si>
  <si>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</si>
  <si>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</si>
  <si>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</si>
  <si>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</si>
  <si>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</si>
  <si>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</si>
  <si>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</si>
  <si>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</si>
  <si>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</si>
  <si>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</si>
  <si>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</si>
  <si>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</si>
  <si>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</si>
  <si>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</si>
  <si>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</si>
  <si>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</si>
  <si>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</si>
  <si>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</si>
  <si>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</si>
  <si>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</si>
  <si>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</si>
  <si>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</si>
  <si>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</si>
  <si>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</si>
  <si>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</si>
  <si>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</si>
  <si>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</si>
  <si>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</si>
  <si>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</si>
  <si>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</si>
  <si>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</si>
  <si>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</si>
  <si>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</si>
  <si>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</si>
  <si>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</si>
  <si>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</si>
  <si>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</si>
  <si>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</si>
  <si>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</si>
  <si>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</si>
  <si>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</si>
  <si>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</si>
  <si>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</si>
  <si>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</si>
  <si>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</si>
  <si>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</si>
  <si>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</si>
  <si>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</si>
  <si>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</si>
  <si>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</si>
  <si>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</si>
  <si>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</si>
  <si>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</si>
  <si>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</si>
  <si>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</si>
  <si>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</si>
  <si>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</si>
  <si>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</si>
  <si>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</si>
  <si>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</si>
  <si>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</si>
  <si>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</si>
  <si>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</si>
  <si>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</si>
  <si>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</si>
  <si>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</si>
  <si>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</si>
  <si>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</si>
  <si>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</si>
  <si>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</si>
  <si>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</si>
  <si>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</si>
  <si>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</si>
  <si>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</si>
  <si>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</si>
  <si>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</si>
  <si>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</si>
  <si>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</si>
  <si>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</si>
  <si>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</si>
  <si>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</si>
  <si>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</si>
  <si>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</si>
  <si>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</si>
  <si>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</si>
  <si>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</si>
  <si>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</si>
  <si>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</si>
  <si>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</si>
  <si>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</si>
  <si>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</si>
  <si>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</si>
  <si>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</si>
  <si>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</si>
  <si>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</si>
  <si>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</si>
  <si>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</si>
  <si>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</si>
  <si>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</si>
  <si>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</si>
  <si>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</si>
  <si>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</si>
  <si>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</si>
  <si>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</si>
  <si>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</si>
  <si>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</si>
  <si>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</si>
  <si>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</si>
  <si>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</si>
  <si>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</si>
  <si>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</si>
  <si>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</si>
  <si>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</si>
  <si>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</si>
  <si>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</si>
  <si>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</si>
  <si>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</si>
  <si>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</si>
  <si>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</si>
  <si>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</si>
  <si>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</si>
  <si>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</si>
  <si>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</si>
  <si>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</si>
  <si>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</si>
  <si>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</si>
  <si>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</si>
  <si>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</si>
  <si>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</si>
  <si>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</si>
  <si>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</si>
  <si>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</si>
  <si>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</si>
  <si>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</si>
  <si>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</si>
  <si>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</si>
  <si>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</si>
  <si>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</si>
  <si>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</si>
  <si>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</si>
  <si>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</si>
  <si>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</si>
  <si>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</si>
  <si>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</si>
  <si>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</si>
  <si>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</si>
  <si>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</si>
  <si>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</si>
  <si>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</si>
  <si>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</si>
  <si>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</si>
  <si>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</si>
  <si>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</si>
  <si>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</si>
  <si>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</si>
  <si>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</si>
  <si>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</si>
  <si>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</si>
  <si>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</si>
  <si>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</si>
  <si>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</si>
  <si>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</si>
  <si>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</si>
  <si>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</si>
  <si>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</si>
  <si>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</si>
  <si>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</si>
  <si>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</si>
  <si>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</si>
  <si>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</si>
  <si>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</si>
  <si>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</si>
  <si>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</si>
  <si>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</si>
  <si>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</si>
  <si>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</si>
  <si>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</si>
  <si>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</si>
  <si>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</si>
  <si>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</si>
  <si>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</si>
  <si>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</si>
  <si>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</si>
  <si>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</si>
  <si>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</si>
  <si>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</si>
  <si>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</si>
  <si>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</si>
  <si>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</si>
  <si>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</si>
  <si>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</si>
  <si>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</si>
  <si>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</si>
  <si>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</si>
  <si>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</si>
  <si>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</si>
  <si>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</si>
  <si>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</si>
  <si>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</si>
  <si>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</si>
  <si>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</si>
  <si>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</si>
  <si>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</si>
  <si>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</si>
  <si>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</si>
  <si>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</si>
  <si>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</si>
  <si>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</si>
  <si>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</si>
  <si>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</si>
  <si>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</si>
  <si>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</si>
  <si>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</si>
  <si>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</si>
  <si>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</si>
  <si>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</si>
  <si>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</si>
  <si>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</si>
  <si>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</si>
  <si>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</si>
  <si>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</si>
  <si>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</si>
  <si>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</si>
  <si>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</si>
  <si>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</si>
  <si>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</si>
  <si>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</si>
  <si>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</si>
  <si>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</si>
  <si>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</si>
  <si>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</si>
  <si>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</si>
  <si>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</si>
  <si>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</si>
  <si>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</si>
  <si>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</si>
  <si>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</si>
  <si>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</si>
  <si>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</si>
  <si>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</si>
  <si>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</si>
  <si>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</si>
  <si>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</si>
  <si>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</si>
  <si>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</si>
  <si>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</si>
  <si>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</si>
  <si>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</si>
  <si>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</si>
  <si>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</si>
  <si>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</si>
  <si>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</si>
  <si>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</si>
  <si>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</si>
  <si>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</si>
  <si>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</si>
  <si>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</si>
  <si>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</si>
  <si>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</si>
  <si>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</si>
  <si>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</si>
  <si>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</si>
  <si>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</si>
  <si>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</si>
  <si>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</si>
  <si>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</si>
  <si>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</si>
  <si>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</si>
  <si>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</si>
  <si>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</si>
  <si>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</si>
  <si>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</si>
  <si>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</si>
  <si>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</si>
  <si>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</si>
  <si>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</si>
  <si>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</si>
  <si>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</si>
  <si>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</si>
  <si>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</si>
  <si>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</si>
  <si>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</si>
  <si>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</si>
  <si>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</si>
  <si>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</si>
  <si>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</si>
  <si>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</si>
  <si>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</si>
  <si>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</si>
  <si>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</si>
  <si>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</si>
  <si>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</si>
  <si>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</si>
  <si>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</si>
  <si>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</si>
  <si>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</si>
  <si>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</si>
  <si>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</si>
  <si>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</si>
  <si>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</si>
  <si>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</si>
  <si>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</si>
  <si>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</si>
  <si>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</si>
  <si>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</si>
  <si>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</si>
  <si>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</si>
  <si>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</si>
  <si>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</si>
  <si>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</si>
  <si>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</si>
  <si>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</si>
  <si>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</si>
  <si>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</si>
  <si>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</si>
  <si>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</si>
  <si>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</si>
  <si>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</si>
  <si>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</si>
  <si>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</si>
  <si>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</si>
  <si>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</si>
  <si>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</si>
  <si>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</si>
  <si>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</si>
  <si>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</si>
  <si>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</si>
  <si>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</si>
  <si>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</si>
  <si>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</si>
  <si>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</si>
  <si>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</si>
  <si>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</si>
  <si>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</si>
  <si>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</si>
  <si>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</si>
  <si>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</si>
  <si>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</si>
  <si>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</si>
  <si>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</si>
  <si>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</si>
  <si>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</si>
  <si>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</si>
  <si>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</si>
  <si>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</si>
  <si>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</si>
  <si>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</si>
  <si>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</si>
  <si>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</si>
  <si>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</si>
  <si>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</si>
  <si>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</si>
  <si>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</si>
  <si>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</si>
  <si>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</si>
  <si>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</si>
  <si>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</si>
  <si>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</si>
  <si>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</si>
  <si>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</si>
  <si>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</si>
  <si>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</si>
  <si>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</si>
  <si>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</si>
  <si>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</si>
  <si>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</si>
  <si>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</si>
  <si>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</si>
  <si>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</si>
  <si>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</si>
  <si>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</si>
  <si>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</si>
  <si>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</si>
  <si>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</si>
  <si>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</si>
  <si>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</si>
  <si>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</si>
  <si>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</si>
  <si>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</si>
  <si>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</si>
  <si>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</si>
  <si>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</si>
  <si>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</si>
  <si>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</si>
  <si>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</si>
  <si>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</si>
  <si>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</si>
  <si>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</si>
  <si>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</si>
  <si>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</si>
  <si>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</si>
  <si>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</si>
  <si>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</si>
  <si>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</si>
  <si>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</si>
  <si>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</si>
  <si>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</si>
  <si>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</si>
  <si>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</si>
  <si>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</si>
  <si>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</si>
  <si>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</si>
  <si>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</si>
  <si>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</si>
  <si>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</si>
  <si>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</si>
  <si>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</si>
  <si>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</si>
  <si>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</si>
  <si>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</si>
  <si>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</si>
  <si>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</si>
  <si>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</si>
  <si>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</si>
  <si>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</si>
  <si>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</si>
  <si>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</si>
  <si>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</si>
  <si>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</si>
  <si>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</si>
  <si>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</si>
  <si>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</si>
  <si>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</si>
  <si>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</si>
  <si>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</si>
  <si>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</si>
  <si>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</si>
  <si>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</si>
  <si>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</si>
  <si>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</si>
  <si>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</si>
  <si>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</si>
  <si>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</si>
  <si>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</si>
  <si>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</si>
  <si>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</si>
  <si>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</si>
  <si>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</si>
  <si>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</si>
  <si>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</si>
  <si>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</si>
  <si>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</si>
  <si>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</si>
  <si>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</si>
  <si>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</si>
  <si>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</si>
  <si>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</si>
  <si>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</si>
  <si>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</si>
  <si>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</si>
  <si>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</si>
  <si>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</si>
  <si>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</si>
  <si>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</si>
  <si>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</si>
  <si>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</si>
  <si>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</si>
  <si>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</si>
  <si>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</si>
  <si>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</si>
  <si>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</si>
  <si>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</si>
  <si>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</si>
  <si>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</si>
  <si>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</si>
  <si>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</si>
  <si>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</si>
  <si>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</si>
  <si>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</si>
  <si>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</si>
  <si>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</si>
  <si>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</si>
  <si>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</si>
  <si>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</si>
  <si>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</si>
  <si>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</si>
  <si>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</si>
  <si>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</si>
  <si>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</si>
  <si>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</si>
  <si>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</si>
  <si>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</si>
  <si>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</si>
  <si>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</si>
  <si>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</si>
  <si>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</si>
  <si>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</si>
  <si>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</si>
  <si>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</si>
  <si>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</si>
  <si>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</si>
  <si>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</si>
  <si>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</si>
  <si>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</si>
  <si>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</si>
  <si>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</si>
  <si>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</si>
  <si>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</si>
  <si>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</si>
  <si>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</si>
  <si>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</si>
  <si>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</si>
  <si>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</si>
  <si>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</si>
  <si>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</si>
  <si>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</si>
  <si>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</si>
  <si>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</si>
  <si>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</si>
  <si>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</si>
  <si>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</si>
  <si>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</si>
  <si>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</si>
  <si>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</si>
  <si>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</si>
  <si>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</si>
  <si>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</si>
  <si>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</si>
  <si>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</si>
  <si>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</si>
  <si>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</si>
  <si>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</si>
  <si>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</si>
  <si>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</si>
  <si>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</si>
  <si>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</si>
  <si>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</si>
  <si>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</si>
  <si>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</si>
  <si>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</si>
  <si>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</si>
  <si>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</si>
  <si>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</si>
  <si>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</si>
  <si>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</si>
  <si>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</si>
  <si>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</si>
  <si>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</si>
  <si>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</si>
  <si>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</si>
  <si>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</si>
  <si>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</si>
  <si>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</si>
  <si>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</si>
  <si>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</si>
  <si>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</si>
  <si>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</si>
  <si>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</si>
  <si>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</si>
  <si>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</si>
  <si>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</si>
  <si>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</si>
  <si>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</si>
  <si>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</si>
  <si>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</si>
  <si>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</si>
  <si>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</si>
  <si>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</si>
  <si>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</si>
  <si>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</si>
  <si>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</si>
  <si>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</si>
  <si>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</si>
  <si>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</si>
  <si>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</si>
  <si>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</si>
  <si>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</si>
  <si>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</si>
  <si>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</si>
  <si>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</si>
  <si>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</si>
  <si>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</si>
  <si>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</si>
  <si>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</si>
  <si>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</si>
  <si>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</si>
  <si>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</si>
  <si>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</si>
  <si>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</si>
  <si>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</si>
  <si>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</si>
  <si>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</si>
  <si>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</si>
  <si>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</si>
  <si>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</si>
  <si>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</si>
  <si>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</si>
  <si>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</si>
  <si>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</si>
  <si>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</si>
  <si>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</si>
  <si>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</si>
  <si>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</si>
  <si>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</si>
  <si>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</si>
  <si>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</si>
  <si>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</si>
  <si>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</si>
  <si>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</si>
  <si>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</si>
  <si>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</si>
  <si>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</si>
  <si>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</si>
  <si>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</si>
  <si>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</si>
  <si>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</si>
  <si>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</si>
  <si>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</si>
  <si>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</si>
  <si>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</si>
  <si>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</si>
  <si>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</si>
  <si>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</si>
  <si>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</si>
  <si>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</si>
  <si>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</si>
  <si>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</si>
  <si>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</si>
  <si>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</si>
  <si>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</si>
  <si>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</si>
  <si>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</si>
  <si>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</si>
  <si>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</si>
  <si>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</si>
  <si>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</si>
  <si>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</si>
  <si>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</si>
  <si>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</si>
  <si>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</si>
  <si>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</si>
  <si>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</si>
  <si>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</si>
  <si>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</si>
  <si>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</si>
  <si>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</si>
  <si>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</si>
  <si>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</si>
  <si>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</si>
  <si>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</si>
  <si>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</si>
  <si>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</si>
  <si>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</si>
  <si>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</si>
  <si>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</si>
  <si>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</si>
  <si>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</si>
  <si>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</si>
  <si>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</si>
  <si>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</si>
  <si>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</si>
  <si>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</si>
  <si>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</si>
  <si>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</si>
  <si>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</si>
  <si>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</si>
  <si>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</si>
  <si>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</si>
  <si>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</si>
  <si>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</si>
  <si>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</si>
  <si>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</si>
  <si>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</si>
  <si>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</si>
  <si>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</si>
  <si>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</si>
  <si>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</si>
  <si>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</si>
  <si>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</si>
  <si>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</si>
  <si>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</si>
  <si>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</si>
  <si>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</si>
  <si>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</si>
  <si>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</si>
  <si>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</si>
  <si>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</si>
  <si>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</si>
  <si>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</si>
  <si>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</si>
  <si>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</si>
  <si>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</si>
  <si>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</si>
  <si>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</si>
  <si>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</si>
  <si>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</si>
  <si>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</si>
  <si>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</si>
  <si>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</si>
  <si>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</si>
  <si>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</si>
  <si>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</si>
  <si>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</si>
  <si>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</si>
  <si>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</si>
  <si>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</si>
  <si>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</si>
  <si>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</si>
  <si>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</si>
  <si>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</si>
  <si>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</si>
  <si>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</si>
  <si>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</si>
  <si>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</si>
  <si>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</si>
  <si>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</si>
  <si>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</si>
  <si>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</si>
  <si>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</si>
  <si>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</si>
  <si>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</si>
  <si>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</si>
  <si>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</si>
  <si>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</si>
  <si>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</si>
  <si>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</si>
  <si>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</si>
  <si>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</si>
  <si>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</si>
  <si>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</si>
  <si>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</si>
  <si>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</si>
  <si>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</si>
  <si>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</si>
  <si>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</si>
  <si>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</si>
  <si>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</si>
  <si>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</si>
  <si>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</si>
  <si>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</si>
  <si>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</si>
  <si>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</si>
  <si>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</si>
  <si>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</si>
  <si>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</si>
  <si>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</si>
  <si>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</si>
  <si>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</si>
  <si>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</si>
  <si>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</si>
  <si>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</si>
  <si>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</si>
  <si>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</si>
  <si>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</si>
  <si>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</si>
  <si>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</si>
  <si>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</si>
  <si>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</si>
  <si>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</si>
  <si>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</si>
  <si>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</si>
  <si>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</si>
  <si>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</si>
  <si>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</si>
  <si>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</si>
  <si>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</si>
  <si>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</si>
  <si>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</si>
  <si>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</si>
  <si>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</si>
  <si>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</si>
  <si>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</si>
  <si>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</si>
  <si>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</si>
  <si>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</si>
  <si>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</si>
  <si>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</si>
  <si>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</si>
  <si>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</si>
  <si>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</si>
  <si>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</si>
  <si>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</si>
  <si>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</si>
  <si>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</si>
  <si>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</si>
  <si>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</si>
  <si>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</si>
  <si>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</si>
  <si>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</si>
  <si>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</si>
  <si>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</si>
  <si>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</si>
  <si>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</si>
  <si>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</si>
  <si>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</si>
  <si>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</si>
  <si>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</si>
  <si>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</si>
  <si>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</si>
  <si>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</si>
  <si>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</si>
  <si>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</si>
  <si>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</si>
  <si>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</si>
  <si>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</si>
  <si>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</si>
  <si>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</si>
  <si>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</si>
  <si>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</si>
  <si>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</si>
  <si>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</si>
  <si>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</si>
  <si>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</si>
  <si>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</si>
  <si>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</si>
  <si>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</si>
  <si>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</si>
  <si>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</si>
  <si>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</si>
  <si>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</si>
  <si>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</si>
  <si>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</si>
  <si>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</si>
  <si>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</si>
  <si>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</si>
  <si>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</si>
  <si>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</si>
  <si>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</si>
  <si>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</si>
  <si>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</si>
  <si>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</si>
  <si>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</si>
  <si>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</si>
  <si>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</si>
  <si>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</si>
  <si>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</si>
  <si>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</si>
  <si>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</si>
  <si>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</si>
  <si>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</si>
  <si>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</si>
  <si>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</si>
  <si>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</si>
  <si>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</si>
  <si>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</si>
  <si>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</si>
  <si>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</si>
  <si>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</si>
  <si>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</si>
  <si>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</si>
  <si>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</si>
  <si>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</si>
  <si>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</si>
  <si>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</si>
  <si>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</si>
  <si>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</si>
  <si>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</si>
  <si>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</si>
  <si>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</si>
  <si>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</si>
  <si>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</si>
  <si>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</si>
  <si>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</si>
  <si>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</si>
  <si>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</si>
  <si>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</si>
  <si>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</si>
  <si>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</si>
  <si>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</si>
  <si>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</si>
  <si>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</si>
  <si>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</si>
  <si>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</si>
  <si>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</si>
  <si>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</si>
  <si>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</si>
  <si>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</si>
  <si>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</si>
  <si>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</si>
  <si>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</si>
  <si>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</si>
  <si>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</si>
  <si>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</si>
  <si>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</si>
  <si>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</si>
  <si>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</si>
  <si>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</si>
  <si>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</si>
  <si>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</si>
  <si>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</si>
  <si>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</si>
  <si>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</si>
  <si>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</si>
  <si>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</si>
  <si>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</si>
  <si>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</si>
  <si>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</si>
  <si>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</si>
  <si>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</si>
  <si>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</si>
  <si>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</si>
  <si>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</si>
  <si>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</si>
  <si>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</si>
  <si>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</si>
  <si>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</si>
  <si>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</si>
  <si>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</si>
  <si>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</si>
  <si>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</si>
  <si>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</si>
  <si>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</si>
  <si>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</si>
  <si>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</si>
  <si>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</si>
  <si>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</si>
  <si>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</si>
  <si>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</si>
  <si>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</si>
  <si>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</si>
  <si>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</si>
  <si>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</si>
  <si>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</si>
  <si>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</si>
  <si>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</si>
  <si>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</si>
  <si>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</si>
  <si>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</si>
  <si>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</si>
  <si>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</si>
  <si>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</si>
  <si>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</si>
  <si>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</si>
  <si>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</si>
  <si>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</si>
  <si>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</si>
  <si>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</si>
  <si>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</si>
  <si>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</si>
  <si>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</si>
  <si>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</si>
  <si>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</si>
  <si>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</si>
  <si>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</si>
  <si>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</si>
  <si>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</si>
  <si>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</si>
  <si>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</si>
  <si>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</si>
  <si>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</si>
  <si>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</si>
  <si>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</si>
  <si>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</si>
  <si>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</si>
  <si>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</si>
  <si>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</si>
  <si>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</si>
  <si>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</si>
  <si>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</si>
  <si>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</si>
  <si>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</si>
  <si>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</si>
  <si>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</si>
  <si>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</si>
  <si>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</si>
  <si>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</si>
  <si>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</si>
  <si>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</si>
  <si>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</si>
  <si>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</si>
  <si>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</si>
  <si>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</si>
  <si>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</si>
  <si>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</si>
  <si>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</si>
  <si>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</si>
  <si>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</si>
  <si>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</si>
  <si>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</si>
  <si>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</si>
  <si>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</si>
  <si>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</si>
  <si>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</si>
  <si>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</si>
  <si>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</si>
  <si>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</si>
  <si>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</si>
  <si>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</si>
  <si>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</si>
  <si>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</si>
  <si>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</si>
  <si>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</si>
  <si>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</si>
  <si>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</si>
  <si>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</si>
  <si>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</si>
  <si>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</si>
  <si>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</si>
  <si>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</si>
  <si>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</si>
  <si>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</si>
  <si>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</si>
  <si>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</si>
  <si>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</si>
  <si>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</si>
  <si>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</si>
  <si>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</si>
  <si>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</si>
  <si>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</si>
  <si>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</si>
  <si>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</si>
  <si>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</si>
  <si>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</si>
  <si>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</si>
  <si>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</si>
  <si>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</si>
  <si>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</si>
  <si>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</si>
  <si>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</si>
  <si>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</si>
  <si>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</si>
  <si>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</si>
  <si>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</si>
  <si>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</si>
  <si>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</si>
  <si>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</si>
  <si>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</si>
  <si>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</si>
  <si>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</si>
  <si>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</si>
  <si>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</si>
  <si>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</si>
  <si>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</si>
  <si>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</si>
  <si>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</si>
  <si>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</si>
  <si>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</si>
  <si>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</si>
  <si>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</si>
  <si>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</si>
  <si>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</si>
  <si>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</si>
  <si>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</si>
  <si>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</si>
  <si>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</si>
  <si>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</si>
  <si>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</si>
  <si>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</si>
  <si>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</si>
  <si>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</si>
  <si>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</si>
  <si>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</si>
  <si>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</si>
  <si>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</si>
  <si>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</si>
  <si>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</si>
  <si>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</si>
  <si>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</si>
  <si>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</si>
  <si>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</si>
  <si>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</si>
  <si>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</si>
  <si>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</si>
  <si>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</si>
  <si>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</si>
  <si>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</si>
  <si>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</si>
  <si>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</si>
  <si>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</si>
  <si>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</si>
  <si>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</si>
  <si>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</si>
  <si>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</si>
  <si>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</si>
  <si>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</si>
  <si>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</si>
  <si>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</si>
  <si>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</si>
  <si>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</si>
  <si>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</si>
  <si>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</si>
  <si>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</si>
  <si>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</si>
  <si>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</si>
  <si>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</si>
  <si>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</si>
  <si>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</si>
  <si>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</si>
  <si>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</si>
  <si>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</si>
  <si>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</si>
  <si>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</si>
  <si>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</si>
  <si>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</si>
  <si>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</si>
  <si>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</si>
  <si>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</si>
  <si>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</si>
  <si>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</si>
  <si>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</si>
  <si>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</si>
  <si>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</si>
  <si>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</si>
  <si>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</si>
  <si>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</si>
  <si>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</si>
  <si>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</si>
  <si>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</si>
  <si>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</si>
  <si>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</si>
  <si>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</si>
  <si>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</si>
  <si>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</si>
  <si>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</si>
  <si>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</si>
  <si>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</si>
  <si>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</si>
  <si>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</si>
  <si>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</si>
  <si>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</si>
  <si>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</si>
  <si>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</si>
  <si>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</si>
  <si>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</si>
  <si>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</si>
  <si>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</si>
  <si>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</si>
  <si>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</si>
  <si>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</si>
  <si>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</si>
  <si>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</si>
  <si>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</si>
  <si>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</si>
  <si>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</si>
  <si>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</si>
  <si>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</si>
  <si>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</si>
  <si>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</si>
  <si>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</si>
  <si>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</si>
  <si>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</si>
  <si>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</si>
  <si>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</si>
  <si>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</si>
  <si>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</si>
  <si>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</si>
  <si>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</si>
  <si>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</si>
  <si>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</si>
  <si>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</si>
  <si>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</si>
  <si>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</si>
  <si>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</si>
  <si>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</si>
  <si>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</si>
  <si>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</si>
  <si>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</si>
  <si>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</si>
  <si>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</si>
  <si>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</si>
  <si>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</si>
  <si>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</si>
  <si>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</si>
  <si>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</si>
  <si>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</si>
  <si>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</si>
  <si>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</si>
  <si>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</si>
  <si>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</si>
  <si>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</si>
  <si>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</si>
  <si>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</si>
  <si>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</si>
  <si>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</si>
  <si>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</si>
  <si>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</si>
  <si>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</si>
  <si>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</si>
  <si>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</si>
  <si>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</si>
  <si>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</si>
  <si>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</si>
  <si>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</si>
  <si>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</si>
  <si>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</si>
  <si>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</si>
  <si>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</si>
  <si>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</si>
  <si>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</si>
  <si>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</si>
  <si>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</si>
  <si>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</si>
  <si>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</si>
  <si>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</si>
  <si>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</si>
  <si>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</si>
  <si>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</si>
  <si>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</si>
  <si>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</si>
  <si>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</si>
  <si>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</si>
  <si>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</si>
  <si>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</si>
  <si>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</si>
  <si>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</si>
  <si>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</si>
  <si>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</si>
  <si>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</si>
  <si>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</si>
  <si>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</si>
  <si>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</si>
  <si>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</si>
  <si>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</si>
  <si>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</si>
  <si>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</si>
  <si>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</si>
  <si>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</si>
  <si>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</si>
  <si>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</si>
  <si>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</si>
  <si>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</si>
  <si>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</si>
  <si>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</si>
  <si>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</si>
  <si>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</si>
  <si>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</si>
  <si>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</si>
  <si>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</si>
  <si>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</si>
  <si>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</si>
  <si>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</si>
  <si>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</si>
  <si>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</si>
  <si>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</si>
  <si>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</si>
  <si>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</si>
  <si>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</si>
  <si>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</si>
  <si>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</si>
  <si>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</si>
  <si>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</si>
  <si>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</si>
  <si>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</si>
  <si>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</si>
  <si>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</si>
  <si>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</si>
  <si>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</si>
  <si>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</si>
  <si>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</si>
  <si>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</si>
  <si>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</si>
  <si>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</si>
  <si>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</si>
  <si>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</si>
  <si>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</si>
  <si>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</si>
  <si>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</si>
  <si>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</si>
  <si>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</si>
  <si>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</si>
  <si>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</si>
  <si>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</si>
  <si>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</si>
  <si>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</si>
  <si>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</si>
  <si>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</si>
  <si>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</si>
  <si>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</si>
  <si>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</si>
  <si>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</si>
  <si>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</si>
  <si>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</si>
  <si>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</si>
  <si>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</si>
  <si>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</si>
  <si>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</si>
  <si>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</si>
  <si>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</si>
  <si>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</si>
  <si>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</si>
  <si>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</si>
  <si>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</si>
  <si>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</si>
  <si>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</si>
  <si>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</si>
  <si>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</si>
  <si>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</si>
  <si>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</si>
  <si>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</si>
  <si>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</si>
  <si>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</si>
  <si>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</si>
  <si>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</si>
  <si>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</si>
  <si>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</si>
  <si>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</si>
  <si>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</si>
  <si>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</si>
  <si>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</si>
  <si>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</si>
  <si>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</si>
  <si>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</si>
  <si>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</si>
  <si>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</si>
  <si>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</si>
  <si>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</si>
  <si>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</si>
  <si>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</si>
  <si>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</si>
  <si>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</si>
  <si>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</si>
  <si>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</si>
  <si>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</si>
  <si>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</si>
  <si>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</si>
  <si>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</si>
  <si>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</si>
  <si>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</si>
  <si>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</si>
  <si>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</si>
  <si>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</si>
  <si>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</si>
  <si>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</si>
  <si>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</si>
  <si>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</si>
  <si>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</si>
  <si>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</si>
  <si>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</si>
  <si>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</si>
  <si>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</si>
  <si>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</si>
  <si>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</si>
  <si>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</si>
  <si>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</si>
  <si>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</si>
  <si>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</si>
  <si>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</si>
  <si>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</si>
  <si>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</si>
  <si>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</si>
  <si>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</si>
  <si>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</si>
  <si>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</si>
  <si>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</si>
  <si>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</si>
  <si>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</si>
  <si>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</si>
  <si>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</si>
  <si>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</si>
  <si>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</si>
  <si>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</si>
  <si>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</si>
  <si>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</si>
  <si>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</si>
  <si>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</si>
  <si>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</si>
  <si>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</si>
  <si>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</si>
  <si>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</si>
  <si>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</si>
  <si>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</si>
  <si>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</si>
  <si>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</si>
  <si>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</si>
  <si>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</si>
  <si>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</si>
  <si>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</si>
  <si>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</si>
  <si>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</si>
  <si>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</si>
  <si>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</si>
  <si>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</si>
  <si>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</si>
  <si>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</si>
  <si>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</si>
  <si>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</si>
  <si>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</si>
  <si>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</si>
  <si>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</si>
  <si>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</si>
  <si>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</si>
  <si>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</si>
  <si>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</si>
  <si>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</si>
  <si>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</si>
  <si>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</si>
  <si>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</si>
  <si>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</si>
  <si>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</si>
  <si>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</si>
  <si>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</si>
  <si>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</si>
  <si>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</si>
  <si>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</si>
  <si>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</si>
  <si>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</si>
  <si>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</si>
  <si>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</si>
  <si>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</si>
  <si>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</si>
  <si>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</si>
  <si>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</si>
  <si>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</si>
  <si>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</si>
  <si>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</si>
  <si>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</si>
  <si>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</si>
  <si>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</si>
  <si>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</si>
  <si>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</si>
  <si>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</si>
  <si>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</si>
  <si>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</si>
  <si>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</si>
  <si>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</si>
  <si>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</si>
  <si>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</si>
  <si>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</si>
  <si>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</si>
  <si>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</si>
  <si>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</si>
  <si>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</si>
  <si>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</si>
  <si>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</si>
  <si>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</si>
  <si>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</si>
  <si>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</si>
  <si>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</si>
  <si>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</si>
  <si>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</si>
  <si>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</si>
  <si>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</si>
  <si>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</si>
  <si>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</si>
  <si>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</si>
  <si>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</si>
  <si>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</si>
  <si>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</si>
  <si>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</si>
  <si>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</si>
  <si>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</si>
  <si>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</si>
  <si>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</si>
  <si>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</si>
  <si>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</si>
  <si>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</si>
  <si>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</si>
  <si>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</si>
  <si>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</si>
  <si>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</si>
  <si>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</si>
  <si>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</si>
  <si>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</si>
  <si>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</si>
  <si>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</si>
  <si>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</si>
  <si>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</si>
  <si>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</si>
  <si>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</si>
  <si>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</si>
  <si>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</si>
  <si>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</si>
  <si>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</si>
  <si>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</si>
  <si>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</si>
  <si>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</si>
  <si>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</si>
  <si>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</si>
  <si>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</si>
  <si>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</si>
  <si>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</si>
  <si>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</si>
  <si>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</si>
  <si>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</si>
  <si>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</si>
  <si>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</si>
  <si>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</si>
  <si>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</si>
  <si>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</si>
  <si>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</si>
  <si>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</si>
  <si>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</si>
  <si>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</si>
  <si>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</si>
  <si>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</si>
  <si>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</si>
  <si>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</si>
  <si>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</si>
  <si>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</si>
  <si>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</si>
  <si>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</si>
  <si>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</si>
  <si>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</si>
  <si>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</si>
  <si>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</si>
  <si>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</si>
  <si>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</si>
  <si>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</si>
  <si>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</si>
  <si>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</si>
  <si>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</si>
  <si>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</si>
  <si>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</si>
  <si>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</si>
  <si>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</si>
  <si>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</si>
  <si>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</si>
  <si>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</si>
  <si>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</si>
  <si>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</si>
  <si>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</si>
  <si>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</si>
  <si>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</si>
  <si>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</si>
  <si>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</si>
  <si>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</si>
  <si>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</si>
  <si>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</si>
  <si>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</si>
  <si>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</si>
  <si>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</si>
  <si>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</si>
  <si>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</si>
  <si>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</si>
  <si>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</si>
  <si>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</si>
  <si>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</si>
  <si>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</si>
  <si>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</si>
  <si>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</si>
  <si>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</si>
  <si>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</si>
  <si>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</si>
  <si>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</si>
  <si>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</si>
  <si>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</si>
  <si>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</si>
  <si>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</si>
  <si>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</si>
  <si>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</si>
  <si>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</si>
  <si>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</si>
  <si>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</si>
  <si>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</si>
  <si>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</si>
  <si>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</si>
  <si>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</si>
  <si>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</si>
  <si>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</si>
  <si>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</si>
  <si>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</si>
  <si>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</si>
  <si>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</si>
  <si>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</si>
  <si>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</si>
  <si>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</si>
  <si>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</si>
  <si>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</si>
  <si>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</si>
  <si>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</si>
  <si>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</si>
  <si>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</si>
  <si>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</si>
  <si>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</si>
  <si>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</si>
  <si>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</si>
  <si>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</si>
  <si>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</si>
  <si>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</si>
  <si>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</si>
  <si>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</si>
  <si>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</si>
  <si>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</si>
  <si>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</si>
  <si>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</si>
  <si>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</si>
  <si>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</si>
  <si>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</si>
  <si>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</si>
  <si>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</si>
  <si>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</si>
  <si>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</si>
  <si>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</si>
  <si>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</si>
  <si>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</si>
  <si>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</si>
  <si>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</si>
  <si>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</si>
  <si>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</si>
  <si>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</si>
  <si>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</si>
  <si>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</si>
  <si>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</si>
  <si>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</si>
  <si>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</si>
  <si>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</si>
  <si>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</si>
  <si>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</si>
  <si>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</si>
  <si>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</si>
  <si>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</si>
  <si>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</si>
  <si>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</si>
  <si>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</si>
  <si>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</si>
  <si>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</si>
  <si>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</si>
  <si>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</si>
  <si>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</si>
  <si>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</si>
  <si>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</si>
  <si>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</si>
  <si>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</si>
  <si>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</si>
  <si>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</si>
  <si>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</si>
  <si>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</si>
  <si>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</si>
  <si>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</si>
  <si>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</si>
  <si>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</si>
  <si>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</si>
  <si>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</si>
  <si>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</si>
  <si>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</si>
  <si>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</si>
  <si>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</si>
  <si>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</si>
  <si>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</si>
  <si>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</si>
  <si>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</si>
  <si>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</si>
  <si>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</si>
  <si>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</si>
  <si>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</si>
  <si>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</si>
  <si>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</si>
  <si>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</si>
  <si>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</si>
  <si>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</si>
  <si>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</si>
  <si>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</si>
  <si>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</si>
  <si>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</si>
  <si>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</si>
  <si>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</si>
  <si>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</si>
  <si>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</si>
  <si>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</si>
  <si>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</si>
  <si>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</si>
  <si>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</si>
  <si>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</si>
  <si>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</si>
  <si>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</si>
  <si>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</si>
  <si>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</si>
  <si>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</si>
  <si>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</si>
  <si>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</si>
  <si>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</si>
  <si>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</si>
  <si>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</si>
  <si>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</si>
  <si>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</si>
  <si>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</si>
  <si>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</si>
  <si>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</si>
  <si>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</si>
  <si>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</si>
  <si>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</si>
  <si>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</si>
  <si>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</si>
  <si>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</si>
  <si>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</si>
  <si>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</si>
  <si>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</si>
  <si>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</si>
  <si>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</si>
  <si>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</si>
  <si>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</si>
  <si>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</si>
  <si>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</si>
  <si>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</si>
  <si>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</si>
  <si>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</si>
  <si>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</si>
  <si>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</si>
  <si>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</si>
  <si>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</si>
  <si>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</si>
  <si>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</si>
  <si>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</si>
  <si>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</si>
  <si>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</si>
  <si>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</si>
  <si>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</si>
  <si>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</si>
  <si>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</si>
  <si>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</si>
  <si>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</si>
  <si>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</si>
  <si>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</si>
  <si>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</si>
  <si>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</si>
  <si>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</si>
  <si>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</si>
  <si>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</si>
  <si>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</si>
  <si>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</si>
  <si>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</si>
  <si>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</si>
  <si>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</si>
  <si>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</si>
  <si>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</si>
  <si>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</si>
  <si>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</si>
  <si>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</si>
  <si>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</si>
  <si>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</si>
  <si>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</si>
  <si>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</si>
  <si>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</si>
  <si>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</si>
  <si>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</si>
  <si>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</si>
  <si>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</si>
  <si>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</si>
  <si>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</si>
  <si>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</si>
  <si>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</si>
  <si>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</si>
  <si>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</si>
  <si>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</si>
  <si>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</si>
  <si>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</si>
  <si>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</si>
  <si>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</si>
  <si>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</si>
  <si>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</si>
  <si>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</si>
  <si>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</si>
  <si>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</si>
  <si>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</si>
  <si>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</si>
  <si>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</si>
  <si>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</si>
  <si>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</si>
  <si>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</si>
  <si>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</si>
  <si>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</si>
  <si>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</si>
  <si>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</si>
  <si>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</si>
  <si>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</si>
  <si>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</si>
  <si>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</si>
  <si>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</si>
  <si>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</si>
  <si>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</si>
  <si>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</si>
  <si>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</si>
  <si>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</si>
  <si>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</si>
  <si>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</si>
  <si>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</si>
  <si>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</si>
  <si>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</si>
  <si>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</si>
  <si>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</si>
  <si>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</si>
  <si>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</si>
  <si>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</si>
  <si>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</si>
  <si>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</si>
  <si>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</si>
  <si>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</si>
  <si>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</si>
  <si>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</si>
  <si>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</si>
  <si>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</si>
  <si>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</si>
  <si>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</si>
  <si>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</si>
  <si>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</si>
  <si>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</si>
  <si>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</si>
  <si>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</si>
  <si>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</si>
  <si>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</si>
  <si>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</si>
  <si>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</si>
  <si>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</si>
  <si>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</si>
  <si>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</si>
  <si>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</si>
  <si>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</si>
  <si>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</si>
  <si>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</si>
  <si>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</si>
  <si>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</si>
  <si>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</si>
  <si>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</si>
  <si>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</si>
  <si>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</si>
  <si>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</si>
  <si>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</si>
  <si>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</si>
  <si>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</si>
  <si>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</si>
  <si>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</si>
  <si>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</si>
  <si>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</si>
  <si>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</si>
  <si>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</si>
  <si>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</si>
  <si>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</si>
  <si>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</si>
  <si>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</si>
  <si>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</si>
  <si>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</si>
  <si>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</si>
  <si>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</si>
  <si>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</si>
  <si>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</si>
  <si>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</si>
  <si>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</si>
  <si>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</si>
  <si>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</si>
  <si>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</si>
  <si>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</si>
  <si>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</si>
  <si>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</si>
  <si>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</si>
  <si>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</si>
  <si>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</si>
  <si>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</si>
  <si>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</si>
  <si>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</si>
  <si>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</si>
  <si>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</si>
  <si>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</si>
  <si>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</si>
  <si>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</si>
  <si>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</si>
  <si>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</si>
  <si>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</si>
  <si>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</si>
  <si>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</si>
  <si>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</si>
  <si>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</si>
  <si>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</si>
  <si>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</si>
  <si>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</si>
  <si>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</si>
  <si>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</si>
  <si>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</si>
  <si>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</si>
  <si>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</si>
  <si>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</si>
  <si>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</si>
  <si>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</si>
  <si>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</si>
  <si>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</si>
  <si>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</si>
  <si>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</si>
  <si>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</si>
  <si>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</si>
  <si>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</si>
  <si>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</si>
  <si>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</si>
  <si>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</si>
  <si>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</si>
  <si>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</si>
  <si>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</si>
  <si>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</si>
  <si>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</si>
  <si>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</si>
  <si>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</si>
  <si>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</si>
  <si>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</si>
  <si>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</si>
  <si>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</si>
  <si>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</si>
  <si>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</si>
  <si>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</si>
  <si>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</si>
  <si>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</si>
  <si>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</si>
  <si>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</si>
  <si>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</si>
  <si>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</si>
  <si>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</si>
  <si>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</si>
  <si>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</si>
  <si>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</si>
  <si>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</si>
  <si>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</si>
  <si>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</si>
  <si>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</si>
  <si>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</si>
  <si>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</si>
  <si>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</si>
  <si>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</si>
  <si>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</si>
  <si>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</si>
  <si>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</si>
  <si>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</si>
  <si>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</si>
  <si>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</si>
  <si>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</si>
  <si>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</si>
  <si>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</si>
  <si>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</si>
  <si>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</si>
  <si>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</si>
  <si>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</si>
  <si>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</si>
  <si>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</si>
  <si>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</si>
  <si>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</si>
  <si>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</si>
  <si>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</si>
  <si>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</si>
  <si>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</si>
  <si>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</si>
  <si>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</si>
  <si>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</si>
  <si>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</si>
  <si>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</si>
  <si>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</si>
  <si>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</si>
  <si>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</si>
  <si>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</si>
  <si>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</si>
  <si>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</si>
  <si>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</si>
  <si>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</si>
  <si>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</si>
  <si>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</si>
  <si>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</si>
  <si>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</si>
  <si>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</si>
  <si>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</si>
  <si>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</si>
  <si>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</si>
  <si>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</si>
  <si>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</si>
  <si>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</si>
  <si>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</si>
  <si>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</si>
  <si>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</si>
  <si>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</si>
  <si>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</si>
  <si>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</si>
  <si>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</si>
  <si>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</si>
  <si>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</si>
  <si>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</si>
  <si>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</si>
  <si>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</si>
  <si>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</si>
  <si>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</si>
  <si>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</si>
  <si>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</si>
  <si>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</si>
  <si>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</si>
  <si>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</si>
  <si>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</si>
  <si>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</si>
  <si>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</si>
  <si>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</si>
  <si>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</si>
  <si>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</si>
  <si>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</si>
  <si>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</si>
  <si>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</si>
  <si>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</si>
  <si>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</si>
  <si>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</si>
  <si>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</si>
  <si>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</si>
  <si>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</si>
  <si>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</si>
  <si>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</si>
  <si>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</si>
  <si>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</si>
  <si>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</si>
  <si>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</si>
  <si>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</si>
  <si>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</si>
  <si>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</si>
  <si>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</si>
  <si>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</si>
  <si>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</si>
  <si>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</si>
  <si>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</si>
  <si>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</si>
  <si>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</si>
  <si>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</si>
  <si>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</si>
  <si>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</si>
  <si>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</si>
  <si>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</si>
  <si>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</si>
  <si>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</si>
  <si>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</si>
  <si>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</si>
  <si>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</si>
  <si>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</si>
  <si>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</si>
  <si>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</si>
  <si>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</si>
  <si>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</si>
  <si>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</si>
  <si>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</si>
  <si>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</si>
  <si>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</si>
  <si>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</si>
  <si>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</si>
  <si>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</si>
  <si>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</si>
  <si>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</si>
  <si>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</si>
  <si>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</si>
  <si>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</si>
  <si>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</si>
  <si>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</si>
  <si>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</si>
  <si>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</si>
  <si>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</si>
  <si>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</si>
  <si>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</si>
  <si>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</si>
  <si>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</si>
  <si>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</si>
  <si>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</si>
  <si>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</si>
  <si>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</si>
  <si>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</si>
  <si>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</si>
  <si>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</si>
  <si>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</si>
  <si>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</si>
  <si>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</si>
  <si>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</si>
  <si>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</si>
  <si>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</si>
  <si>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</si>
  <si>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</si>
  <si>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</si>
  <si>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</si>
  <si>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</si>
  <si>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</si>
  <si>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</si>
  <si>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</si>
  <si>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</si>
  <si>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</si>
  <si>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</si>
  <si>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</si>
  <si>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</si>
  <si>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</si>
  <si>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</si>
  <si>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</si>
  <si>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</si>
  <si>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</si>
  <si>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</si>
  <si>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</si>
  <si>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</si>
  <si>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</si>
  <si>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</si>
  <si>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</si>
  <si>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</si>
  <si>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</si>
  <si>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</si>
  <si>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</si>
  <si>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</si>
  <si>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</si>
  <si>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</si>
  <si>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</si>
  <si>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</si>
  <si>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</si>
  <si>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</si>
  <si>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</si>
  <si>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</si>
  <si>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</si>
  <si>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</si>
  <si>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</si>
  <si>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</si>
  <si>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</si>
  <si>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</si>
  <si>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</si>
  <si>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</si>
  <si>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</si>
  <si>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</si>
  <si>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</si>
  <si>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</si>
  <si>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</si>
  <si>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</si>
  <si>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</si>
  <si>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</si>
  <si>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</si>
  <si>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</si>
  <si>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</si>
  <si>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</si>
  <si>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</si>
  <si>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</si>
  <si>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</si>
  <si>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</si>
  <si>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</si>
  <si>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</si>
  <si>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</si>
  <si>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</si>
  <si>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</si>
  <si>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</si>
  <si>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</si>
  <si>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</si>
  <si>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</si>
  <si>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</si>
  <si>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</si>
  <si>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</si>
  <si>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</si>
  <si>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</si>
  <si>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</si>
  <si>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</si>
  <si>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</si>
  <si>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</si>
  <si>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</si>
  <si>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</si>
  <si>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</si>
  <si>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</si>
  <si>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</si>
  <si>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</si>
  <si>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</si>
  <si>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</si>
  <si>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</si>
  <si>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</si>
  <si>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</si>
  <si>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</si>
  <si>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</si>
  <si>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</si>
  <si>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</si>
  <si>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</si>
  <si>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</si>
  <si>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</si>
  <si>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</si>
  <si>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</si>
  <si>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</si>
  <si>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</si>
  <si>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</si>
  <si>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</si>
  <si>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</si>
  <si>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</si>
  <si>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</si>
  <si>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</si>
  <si>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</si>
  <si>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</si>
  <si>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</si>
  <si>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</si>
  <si>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</si>
  <si>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</si>
  <si>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</si>
  <si>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</si>
  <si>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</si>
  <si>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</si>
  <si>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</si>
  <si>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</si>
  <si>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</si>
  <si>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</si>
  <si>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</si>
  <si>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</si>
  <si>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</si>
  <si>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</si>
  <si>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</si>
  <si>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</si>
  <si>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</si>
  <si>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</si>
  <si>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</si>
  <si>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</si>
  <si>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</si>
  <si>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</si>
  <si>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</si>
  <si>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</si>
  <si>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</si>
  <si>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</si>
  <si>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</si>
  <si>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</si>
  <si>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</si>
  <si>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</si>
  <si>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</si>
  <si>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</si>
  <si>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</si>
  <si>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</si>
  <si>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</si>
  <si>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</si>
  <si>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</si>
  <si>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</si>
  <si>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</si>
  <si>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</si>
  <si>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</si>
  <si>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</si>
  <si>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</si>
  <si>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</si>
  <si>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</si>
  <si>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</si>
  <si>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</si>
  <si>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</si>
  <si>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</si>
  <si>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</si>
  <si>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</si>
  <si>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</si>
  <si>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</si>
  <si>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</si>
  <si>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</si>
  <si>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</si>
  <si>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</si>
  <si>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</si>
  <si>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</si>
  <si>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</si>
  <si>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</si>
  <si>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</si>
  <si>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</si>
  <si>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</si>
  <si>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</si>
  <si>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</si>
  <si>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</si>
  <si>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</si>
  <si>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</si>
  <si>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</si>
  <si>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</si>
  <si>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</si>
  <si>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</si>
  <si>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</si>
  <si>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</si>
  <si>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</si>
  <si>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</si>
  <si>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</si>
  <si>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</si>
  <si>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</si>
  <si>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</si>
  <si>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</si>
  <si>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</si>
  <si>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</si>
  <si>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</si>
  <si>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</si>
  <si>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</si>
  <si>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</si>
  <si>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</si>
  <si>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</si>
  <si>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</si>
  <si>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</si>
  <si>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</si>
  <si>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</si>
  <si>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</si>
  <si>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</si>
  <si>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</si>
  <si>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</si>
  <si>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</si>
  <si>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</si>
  <si>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</si>
  <si>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</si>
  <si>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</si>
  <si>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</si>
  <si>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</si>
  <si>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</si>
  <si>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</si>
  <si>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</si>
  <si>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</si>
  <si>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</si>
  <si>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</si>
  <si>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</si>
  <si>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</si>
  <si>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</si>
  <si>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</si>
  <si>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</si>
  <si>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</si>
  <si>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</si>
  <si>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</si>
  <si>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</si>
  <si>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</si>
  <si>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</si>
  <si>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</si>
  <si>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</si>
  <si>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</si>
  <si>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</si>
  <si>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</si>
  <si>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</si>
  <si>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</si>
  <si>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</si>
  <si>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</si>
  <si>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</si>
  <si>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</si>
  <si>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</si>
  <si>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</si>
  <si>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</si>
  <si>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</si>
  <si>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</si>
  <si>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</si>
  <si>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</si>
  <si>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</si>
  <si>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</si>
  <si>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</si>
  <si>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</si>
  <si>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</si>
  <si>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</si>
  <si>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</si>
  <si>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</si>
  <si>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</si>
  <si>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</si>
  <si>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</si>
  <si>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</si>
  <si>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</si>
  <si>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</si>
  <si>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</si>
  <si>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</si>
  <si>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</si>
  <si>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</si>
  <si>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</si>
  <si>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</si>
  <si>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</si>
  <si>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</si>
  <si>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</si>
  <si>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</si>
  <si>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</si>
  <si>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</si>
  <si>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</si>
  <si>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</si>
  <si>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</si>
  <si>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</si>
  <si>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</si>
  <si>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</si>
  <si>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</si>
  <si>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</si>
  <si>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</si>
  <si>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</si>
  <si>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</si>
  <si>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</si>
  <si>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</si>
  <si>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</si>
  <si>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</si>
  <si>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</si>
  <si>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</si>
  <si>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</si>
  <si>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</si>
  <si>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</si>
  <si>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</si>
  <si>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</si>
  <si>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</si>
  <si>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</si>
  <si>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</si>
  <si>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</si>
  <si>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</si>
  <si>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</si>
  <si>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</si>
  <si>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</si>
  <si>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</si>
  <si>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</si>
  <si>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</si>
  <si>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</si>
  <si>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</si>
  <si>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</si>
  <si>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</si>
  <si>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</si>
  <si>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</si>
  <si>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</si>
  <si>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</si>
  <si>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</si>
  <si>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</si>
  <si>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</si>
  <si>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</si>
  <si>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</si>
  <si>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</si>
  <si>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</si>
  <si>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</si>
  <si>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</si>
  <si>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</si>
  <si>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</si>
  <si>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</si>
  <si>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</si>
  <si>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</si>
  <si>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</si>
  <si>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</si>
  <si>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</si>
  <si>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</si>
  <si>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</si>
  <si>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</si>
  <si>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</si>
  <si>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</si>
  <si>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</si>
  <si>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</si>
  <si>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</si>
  <si>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</si>
  <si>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</si>
  <si>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</si>
  <si>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</si>
  <si>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</si>
  <si>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</si>
  <si>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</si>
  <si>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</si>
  <si>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</si>
  <si>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</si>
  <si>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</si>
  <si>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</si>
  <si>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</si>
  <si>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</si>
  <si>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</si>
  <si>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</si>
  <si>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</si>
  <si>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</si>
  <si>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</si>
  <si>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</si>
  <si>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</si>
  <si>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</si>
  <si>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</si>
  <si>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</si>
  <si>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</si>
  <si>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</si>
  <si>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</si>
  <si>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</si>
  <si>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</si>
  <si>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</si>
  <si>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</si>
  <si>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</si>
  <si>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</si>
  <si>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</si>
  <si>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</si>
  <si>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</si>
  <si>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</si>
  <si>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</si>
  <si>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</si>
  <si>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</si>
  <si>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</si>
  <si>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</si>
  <si>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</si>
  <si>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</si>
  <si>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</si>
  <si>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</si>
  <si>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</si>
  <si>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</si>
  <si>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</si>
  <si>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</si>
  <si>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</si>
  <si>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</si>
  <si>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</si>
  <si>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</si>
  <si>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</si>
  <si>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</si>
  <si>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</si>
  <si>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</si>
  <si>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</si>
  <si>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</si>
  <si>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</si>
  <si>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</si>
  <si>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</si>
  <si>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</si>
  <si>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</si>
  <si>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</si>
  <si>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</si>
  <si>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</si>
  <si>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</si>
  <si>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</si>
  <si>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</si>
  <si>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</si>
  <si>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</si>
  <si>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</si>
  <si>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</si>
  <si>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</si>
  <si>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</si>
  <si>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</si>
  <si>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</si>
  <si>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</si>
  <si>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</si>
  <si>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</si>
  <si>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</si>
  <si>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</si>
  <si>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</si>
  <si>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</si>
  <si>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</si>
  <si>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</si>
  <si>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</si>
  <si>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</si>
  <si>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</si>
  <si>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</si>
  <si>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</si>
  <si>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</si>
  <si>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</si>
  <si>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</si>
  <si>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</si>
  <si>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</si>
  <si>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</si>
  <si>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</si>
  <si>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</si>
  <si>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</si>
  <si>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</si>
  <si>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</si>
  <si>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</si>
  <si>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</si>
  <si>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</si>
  <si>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</si>
  <si>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</si>
  <si>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</si>
  <si>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</si>
  <si>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</si>
  <si>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</si>
  <si>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</si>
  <si>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</si>
  <si>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</si>
  <si>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</si>
  <si>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</si>
  <si>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</si>
  <si>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</si>
  <si>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</si>
  <si>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</si>
  <si>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</si>
  <si>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</si>
  <si>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</si>
  <si>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</si>
  <si>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</si>
  <si>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</si>
  <si>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</si>
  <si>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</si>
  <si>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</si>
  <si>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</si>
  <si>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</si>
  <si>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</si>
  <si>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</si>
  <si>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</si>
  <si>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</si>
  <si>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</si>
  <si>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</si>
  <si>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</si>
  <si>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</si>
  <si>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</si>
  <si>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</si>
  <si>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</si>
  <si>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</si>
  <si>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</si>
  <si>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</si>
  <si>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</si>
  <si>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</si>
  <si>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</si>
  <si>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</si>
  <si>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</si>
  <si>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</si>
  <si>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</si>
  <si>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</si>
  <si>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</si>
  <si>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</si>
  <si>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</si>
  <si>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</si>
  <si>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</si>
  <si>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</si>
  <si>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</si>
  <si>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</si>
  <si>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</si>
  <si>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</si>
  <si>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</si>
  <si>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</si>
  <si>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</si>
  <si>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</si>
  <si>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</si>
  <si>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</si>
  <si>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</si>
  <si>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</si>
  <si>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</si>
  <si>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</si>
  <si>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</si>
  <si>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</si>
  <si>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</si>
  <si>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</si>
  <si>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</si>
  <si>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</si>
  <si>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</si>
  <si>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</si>
  <si>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</si>
  <si>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</si>
  <si>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</si>
  <si>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</si>
  <si>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</si>
  <si>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</si>
  <si>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</si>
  <si>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</si>
  <si>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</si>
  <si>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</si>
  <si>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</si>
  <si>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</si>
  <si>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</si>
  <si>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</si>
  <si>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</si>
  <si>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</si>
  <si>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</si>
  <si>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</si>
  <si>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</si>
  <si>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</si>
  <si>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</si>
  <si>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</si>
  <si>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</si>
  <si>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</si>
  <si>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</si>
  <si>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</si>
  <si>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</si>
  <si>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</si>
  <si>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</si>
  <si>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</si>
  <si>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</si>
  <si>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</si>
  <si>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</si>
  <si>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</si>
  <si>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</si>
  <si>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</si>
  <si>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</si>
  <si>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</si>
  <si>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</si>
  <si>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</si>
  <si>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</si>
  <si>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</si>
  <si>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</si>
  <si>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</si>
  <si>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</si>
  <si>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</si>
  <si>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</si>
  <si>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</si>
  <si>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</si>
  <si>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</si>
  <si>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</si>
  <si>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</si>
  <si>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</si>
  <si>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</si>
  <si>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</si>
  <si>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</si>
  <si>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</si>
  <si>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</si>
  <si>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</si>
  <si>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</si>
  <si>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</si>
  <si>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</si>
  <si>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</si>
  <si>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</si>
  <si>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</si>
  <si>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</si>
  <si>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</si>
  <si>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</si>
  <si>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</si>
  <si>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</si>
  <si>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</si>
  <si>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</si>
  <si>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</si>
  <si>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</si>
  <si>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</si>
  <si>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</si>
  <si>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</si>
  <si>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</si>
  <si>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</si>
  <si>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</si>
  <si>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</si>
  <si>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</si>
  <si>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</si>
  <si>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</si>
  <si>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</si>
  <si>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</si>
  <si>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</si>
  <si>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</si>
  <si>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</si>
  <si>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</si>
  <si>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</si>
  <si>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</si>
  <si>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</si>
  <si>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</si>
  <si>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</si>
  <si>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</si>
  <si>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</si>
  <si>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</si>
  <si>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</si>
  <si>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</si>
  <si>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</si>
  <si>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</si>
  <si>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</si>
  <si>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</si>
  <si>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</si>
  <si>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</si>
  <si>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</si>
  <si>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</si>
  <si>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</si>
  <si>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</si>
  <si>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</si>
  <si>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</si>
  <si>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</si>
  <si>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</si>
  <si>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</si>
  <si>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</si>
  <si>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</si>
  <si>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</si>
  <si>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</si>
  <si>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</si>
  <si>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</si>
  <si>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</si>
  <si>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</si>
  <si>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</si>
  <si>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</si>
  <si>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</si>
  <si>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</si>
  <si>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</si>
  <si>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</si>
  <si>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</si>
  <si>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</si>
  <si>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</si>
  <si>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</si>
  <si>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</si>
  <si>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</si>
  <si>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</si>
  <si>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</si>
  <si>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</si>
  <si>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</si>
  <si>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</si>
  <si>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</si>
  <si>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</si>
  <si>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</si>
  <si>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</si>
  <si>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</si>
  <si>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</si>
  <si>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</si>
  <si>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</si>
  <si>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</si>
  <si>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</si>
  <si>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</si>
  <si>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</si>
  <si>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</si>
  <si>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</si>
  <si>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</si>
  <si>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</si>
  <si>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</si>
  <si>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</si>
  <si>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</si>
  <si>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</si>
  <si>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</si>
  <si>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</si>
  <si>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</si>
  <si>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</si>
  <si>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</si>
  <si>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</si>
  <si>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</si>
  <si>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</si>
  <si>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</si>
  <si>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</si>
  <si>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</si>
  <si>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</si>
  <si>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</si>
  <si>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</si>
  <si>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</si>
  <si>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</si>
  <si>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</si>
  <si>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</si>
  <si>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</si>
  <si>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</si>
  <si>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</si>
  <si>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</si>
  <si>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</si>
  <si>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</si>
  <si>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</si>
  <si>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</si>
  <si>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</si>
  <si>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</si>
  <si>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</si>
  <si>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</si>
  <si>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</si>
  <si>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</si>
  <si>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</si>
  <si>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</si>
  <si>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</si>
  <si>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</si>
  <si>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</si>
  <si>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</si>
  <si>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</si>
  <si>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</si>
  <si>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</si>
  <si>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</si>
  <si>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</si>
  <si>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</si>
  <si>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</si>
  <si>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</si>
  <si>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</si>
  <si>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</si>
  <si>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</si>
  <si>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</si>
  <si>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</si>
  <si>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</si>
  <si>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</si>
  <si>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</si>
  <si>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</si>
  <si>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</si>
  <si>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</si>
  <si>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</si>
  <si>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</si>
  <si>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</si>
  <si>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</si>
  <si>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</si>
  <si>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</si>
  <si>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</si>
  <si>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</si>
  <si>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</si>
  <si>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</si>
  <si>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</si>
  <si>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</si>
  <si>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</si>
  <si>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</si>
  <si>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</si>
  <si>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</si>
  <si>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</si>
  <si>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</si>
  <si>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</si>
  <si>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</si>
  <si>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</si>
  <si>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</si>
  <si>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</si>
  <si>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</si>
  <si>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</si>
  <si>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</si>
  <si>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</si>
  <si>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</si>
  <si>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</si>
  <si>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</si>
  <si>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</si>
  <si>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</si>
  <si>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</si>
  <si>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</si>
  <si>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</si>
  <si>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</si>
  <si>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</si>
  <si>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</si>
  <si>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</si>
  <si>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</si>
  <si>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</si>
  <si>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</si>
  <si>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</si>
  <si>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</si>
  <si>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</si>
  <si>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</si>
  <si>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</si>
  <si>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</si>
  <si>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</si>
  <si>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</si>
  <si>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</si>
  <si>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</si>
  <si>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</si>
  <si>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</si>
  <si>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</si>
  <si>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</si>
  <si>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</si>
  <si>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</si>
  <si>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</si>
  <si>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</si>
  <si>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</si>
  <si>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</si>
  <si>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</si>
  <si>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</si>
  <si>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</si>
  <si>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</si>
  <si>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</si>
  <si>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</si>
  <si>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</si>
  <si>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</si>
  <si>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</si>
  <si>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</si>
  <si>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</si>
  <si>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</si>
  <si>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</si>
  <si>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</si>
  <si>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</si>
  <si>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</si>
  <si>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</si>
  <si>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</si>
  <si>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</si>
  <si>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</si>
  <si>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</si>
  <si>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</si>
  <si>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</si>
  <si>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</si>
  <si>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</si>
  <si>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</si>
  <si>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</si>
  <si>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</si>
  <si>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</si>
  <si>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</si>
  <si>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</si>
  <si>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</si>
  <si>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</si>
  <si>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</si>
  <si>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</si>
  <si>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</si>
  <si>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</si>
  <si>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</si>
  <si>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</si>
  <si>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</si>
  <si>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</si>
  <si>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</si>
  <si>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</si>
  <si>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</si>
  <si>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</si>
  <si>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</si>
  <si>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</si>
  <si>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</si>
  <si>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</si>
  <si>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</si>
  <si>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</si>
  <si>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</si>
  <si>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</si>
  <si>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</si>
  <si>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</si>
  <si>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</si>
  <si>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</si>
  <si>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</si>
  <si>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</si>
  <si>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</si>
  <si>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</si>
  <si>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</si>
  <si>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</si>
  <si>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</si>
  <si>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</si>
  <si>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</si>
  <si>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</si>
  <si>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</si>
  <si>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</si>
  <si>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</si>
  <si>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</si>
  <si>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</si>
  <si>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</si>
  <si>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</si>
  <si>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</si>
  <si>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</si>
  <si>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</si>
  <si>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</si>
  <si>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</si>
  <si>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</si>
  <si>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</si>
  <si>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</si>
  <si>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</si>
  <si>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</si>
  <si>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</si>
  <si>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</si>
  <si>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</si>
  <si>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</si>
  <si>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</si>
  <si>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</si>
  <si>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</si>
  <si>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</si>
  <si>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</si>
  <si>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</si>
  <si>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</si>
  <si>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</si>
  <si>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</si>
  <si>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</si>
  <si>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</si>
  <si>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</si>
  <si>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</si>
  <si>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</si>
  <si>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</si>
  <si>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</si>
  <si>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</si>
  <si>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</si>
  <si>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</si>
  <si>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</si>
  <si>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</si>
  <si>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</si>
  <si>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</si>
  <si>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</si>
  <si>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</si>
  <si>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</si>
  <si>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</si>
  <si>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</si>
  <si>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</si>
  <si>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</si>
  <si>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</si>
  <si>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</si>
  <si>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</si>
  <si>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</si>
  <si>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</si>
  <si>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</si>
  <si>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</si>
  <si>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</si>
  <si>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</si>
  <si>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</si>
  <si>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</si>
  <si>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</si>
  <si>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</si>
  <si>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</si>
  <si>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</si>
  <si>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</si>
  <si>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</si>
  <si>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</si>
  <si>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</si>
  <si>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</si>
  <si>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</si>
  <si>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</si>
  <si>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</si>
  <si>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</si>
  <si>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</si>
  <si>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</si>
  <si>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</si>
  <si>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</si>
  <si>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</si>
  <si>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</si>
  <si>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</si>
  <si>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</si>
  <si>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</si>
  <si>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</si>
  <si>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</si>
  <si>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</si>
  <si>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</si>
  <si>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</si>
  <si>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</si>
  <si>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</si>
  <si>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</si>
  <si>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</si>
  <si>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</si>
  <si>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</si>
  <si>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</si>
  <si>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</si>
  <si>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</si>
  <si>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</si>
  <si>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</si>
  <si>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</si>
  <si>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</si>
  <si>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</si>
  <si>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</si>
  <si>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</si>
  <si>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</si>
  <si>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</si>
  <si>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</si>
  <si>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</si>
  <si>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</si>
  <si>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</si>
  <si>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</si>
  <si>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</si>
  <si>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</si>
  <si>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</si>
  <si>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</si>
  <si>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</si>
  <si>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</si>
  <si>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</si>
  <si>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</si>
  <si>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</si>
  <si>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</si>
  <si>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</si>
  <si>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</si>
  <si>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</si>
  <si>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</si>
  <si>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</si>
  <si>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</si>
  <si>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</si>
  <si>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</si>
  <si>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</si>
  <si>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</si>
  <si>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</si>
  <si>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</si>
  <si>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</si>
  <si>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</si>
  <si>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</si>
  <si>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</si>
  <si>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</si>
  <si>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</si>
  <si>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</si>
  <si>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</si>
  <si>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</si>
  <si>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</si>
  <si>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</si>
  <si>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</si>
  <si>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</si>
  <si>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</si>
  <si>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</si>
  <si>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</si>
  <si>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</si>
  <si>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</si>
  <si>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</si>
  <si>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</si>
  <si>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</si>
  <si>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</si>
  <si>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</si>
  <si>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</si>
  <si>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</si>
  <si>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</si>
  <si>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</si>
  <si>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</si>
  <si>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</si>
  <si>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</si>
  <si>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</si>
  <si>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</si>
  <si>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</si>
  <si>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</si>
  <si>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</si>
  <si>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</si>
  <si>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</si>
  <si>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</si>
  <si>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</si>
  <si>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</si>
  <si>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</si>
  <si>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</si>
  <si>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</si>
  <si>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</si>
  <si>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</si>
  <si>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</si>
  <si>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</si>
  <si>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</si>
  <si>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</si>
  <si>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</si>
  <si>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</si>
  <si>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</si>
  <si>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</si>
  <si>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</si>
  <si>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</si>
  <si>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</si>
  <si>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</si>
  <si>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</si>
  <si>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</si>
  <si>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</si>
  <si>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</si>
  <si>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</si>
  <si>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</si>
  <si>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</si>
  <si>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</si>
  <si>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</si>
  <si>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</si>
  <si>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</si>
  <si>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</si>
  <si>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</si>
  <si>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</si>
  <si>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</si>
  <si>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</si>
  <si>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</si>
  <si>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</si>
  <si>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</si>
  <si>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</si>
  <si>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</si>
  <si>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</si>
  <si>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</si>
  <si>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</si>
  <si>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</si>
  <si>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</si>
  <si>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</si>
  <si>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</si>
  <si>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</si>
  <si>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</si>
  <si>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</si>
  <si>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</si>
  <si>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</si>
  <si>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</si>
  <si>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</si>
  <si>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</si>
  <si>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</si>
  <si>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</si>
  <si>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</si>
  <si>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</si>
  <si>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</si>
  <si>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</si>
  <si>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</si>
  <si>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</si>
  <si>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</si>
  <si>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</si>
  <si>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</si>
  <si>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</si>
  <si>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</si>
  <si>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</si>
  <si>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</si>
  <si>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</si>
  <si>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</si>
  <si>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</si>
  <si>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</si>
  <si>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</si>
  <si>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</si>
  <si>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</si>
  <si>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</si>
  <si>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</si>
  <si>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</si>
  <si>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</si>
  <si>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</si>
  <si>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</si>
  <si>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</si>
  <si>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</si>
  <si>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</si>
  <si>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</si>
  <si>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</si>
  <si>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</si>
  <si>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</si>
  <si>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</si>
  <si>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</si>
  <si>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</si>
  <si>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</si>
  <si>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</si>
  <si>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</si>
  <si>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</si>
  <si>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</si>
  <si>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</si>
  <si>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</si>
  <si>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</si>
  <si>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</si>
  <si>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</si>
  <si>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</si>
  <si>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</si>
  <si>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</si>
  <si>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</si>
  <si>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</si>
  <si>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</si>
  <si>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</si>
  <si>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</si>
  <si>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</si>
  <si>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</si>
  <si>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</si>
  <si>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</si>
  <si>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</si>
  <si>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</si>
  <si>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</si>
  <si>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</si>
  <si>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</si>
  <si>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</si>
  <si>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</si>
  <si>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</si>
  <si>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</si>
  <si>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</si>
  <si>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</si>
  <si>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</si>
  <si>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</si>
  <si>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</si>
  <si>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</si>
  <si>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</si>
  <si>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</si>
  <si>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</si>
  <si>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</si>
  <si>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</si>
  <si>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</si>
  <si>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</si>
  <si>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</si>
  <si>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</si>
  <si>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</si>
  <si>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</si>
  <si>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</si>
  <si>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</si>
  <si>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</si>
  <si>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</si>
  <si>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</si>
  <si>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</si>
  <si>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</si>
  <si>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</si>
  <si>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</si>
  <si>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</si>
  <si>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</si>
  <si>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</si>
  <si>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</si>
  <si>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</si>
  <si>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</si>
  <si>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</si>
  <si>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</si>
  <si>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</si>
  <si>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</si>
  <si>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</si>
  <si>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</si>
  <si>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</si>
  <si>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</si>
  <si>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</si>
  <si>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</si>
  <si>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</si>
  <si>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</si>
  <si>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</si>
  <si>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</si>
  <si>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</si>
  <si>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</si>
  <si>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</si>
  <si>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</si>
  <si>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</si>
  <si>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</si>
  <si>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</si>
  <si>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</si>
  <si>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</si>
  <si>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</si>
  <si>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</si>
  <si>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</si>
  <si>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</si>
  <si>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</si>
  <si>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</si>
  <si>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</si>
  <si>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</si>
  <si>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</si>
  <si>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</si>
  <si>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</si>
  <si>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</si>
  <si>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</si>
  <si>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</si>
  <si>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</si>
  <si>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</si>
  <si>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</si>
  <si>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</si>
  <si>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</si>
  <si>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</si>
  <si>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</si>
  <si>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</si>
  <si>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</si>
  <si>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</si>
  <si>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</si>
  <si>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</si>
  <si>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</si>
  <si>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</si>
  <si>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</si>
  <si>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</si>
  <si>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</si>
  <si>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</si>
  <si>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</si>
  <si>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</si>
  <si>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</si>
  <si>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</si>
  <si>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</si>
  <si>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</si>
  <si>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</si>
  <si>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</si>
  <si>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</si>
  <si>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</si>
  <si>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</si>
  <si>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</si>
  <si>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</si>
  <si>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</si>
  <si>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</si>
  <si>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</si>
  <si>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</si>
  <si>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</si>
  <si>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</si>
  <si>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</si>
  <si>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</si>
  <si>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</si>
  <si>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</si>
  <si>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</si>
  <si>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</si>
  <si>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</si>
  <si>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</si>
  <si>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</si>
  <si>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</si>
  <si>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</si>
  <si>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</si>
  <si>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</si>
  <si>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</si>
  <si>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</si>
  <si>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</si>
  <si>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</si>
  <si>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</si>
  <si>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</si>
  <si>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</si>
  <si>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</si>
  <si>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</si>
  <si>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</si>
  <si>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</si>
  <si>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</si>
  <si>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</si>
  <si>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</si>
  <si>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</si>
  <si>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</si>
  <si>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</si>
  <si>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</si>
  <si>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</si>
  <si>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</si>
  <si>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</si>
  <si>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</si>
  <si>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</si>
  <si>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</si>
  <si>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</si>
  <si>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</si>
  <si>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</si>
  <si>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</si>
  <si>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</si>
  <si>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</si>
  <si>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</si>
  <si>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</si>
  <si>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</si>
  <si>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</si>
  <si>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</si>
  <si>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</si>
  <si>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</si>
  <si>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</si>
  <si>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</si>
  <si>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</si>
  <si>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</si>
  <si>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</si>
  <si>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</si>
  <si>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</si>
  <si>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</si>
  <si>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</si>
  <si>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</si>
  <si>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</si>
  <si>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</si>
  <si>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</si>
  <si>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</si>
  <si>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</si>
  <si>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</si>
  <si>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</si>
  <si>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</si>
  <si>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</si>
  <si>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</si>
  <si>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</si>
  <si>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</si>
  <si>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</si>
  <si>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</si>
  <si>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</si>
  <si>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</si>
  <si>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</si>
  <si>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</si>
  <si>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</si>
  <si>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</si>
  <si>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</si>
  <si>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</si>
  <si>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</si>
  <si>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</si>
  <si>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</si>
  <si>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</si>
  <si>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</si>
  <si>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</si>
  <si>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</si>
  <si>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</si>
  <si>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</si>
  <si>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</si>
  <si>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</si>
  <si>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</si>
  <si>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</si>
  <si>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</si>
  <si>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</si>
  <si>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</si>
  <si>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</si>
  <si>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</si>
  <si>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</si>
  <si>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</si>
  <si>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</si>
  <si>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</si>
  <si>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</si>
  <si>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</si>
  <si>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</si>
  <si>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</si>
  <si>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</si>
  <si>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</si>
  <si>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</si>
  <si>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</si>
  <si>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</si>
  <si>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</si>
  <si>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</si>
  <si>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</si>
  <si>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</si>
  <si>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</si>
  <si>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</si>
  <si>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</si>
  <si>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</si>
  <si>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</si>
  <si>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</si>
  <si>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</si>
  <si>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</si>
  <si>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</si>
  <si>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</si>
  <si>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</si>
  <si>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</si>
  <si>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</si>
  <si>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</si>
  <si>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</si>
  <si>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</si>
  <si>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</si>
  <si>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</si>
  <si>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</si>
  <si>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</si>
  <si>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</si>
  <si>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</si>
  <si>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</si>
  <si>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</si>
  <si>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</si>
  <si>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</si>
  <si>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</si>
  <si>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</si>
  <si>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</si>
  <si>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</si>
  <si>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</si>
  <si>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</si>
  <si>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</si>
  <si>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</si>
  <si>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</si>
  <si>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</si>
  <si>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</si>
  <si>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</si>
  <si>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</si>
  <si>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</si>
  <si>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</si>
  <si>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</si>
  <si>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</si>
  <si>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</si>
  <si>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</si>
  <si>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</si>
  <si>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</si>
  <si>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</si>
  <si>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</si>
  <si>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</si>
  <si>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</si>
  <si>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</si>
  <si>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</si>
  <si>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</si>
  <si>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</si>
  <si>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</si>
  <si>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</si>
  <si>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</si>
  <si>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</si>
  <si>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</si>
  <si>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</si>
  <si>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</si>
  <si>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</si>
  <si>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</si>
  <si>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</si>
  <si>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</si>
  <si>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</si>
  <si>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</si>
  <si>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</si>
  <si>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</si>
  <si>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</si>
  <si>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</si>
  <si>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</si>
  <si>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</si>
  <si>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</si>
  <si>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</si>
  <si>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</si>
  <si>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</si>
  <si>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</si>
  <si>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</si>
  <si>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</si>
  <si>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</si>
  <si>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</si>
  <si>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</si>
  <si>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</si>
  <si>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</si>
  <si>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</si>
  <si>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</si>
  <si>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</si>
  <si>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</si>
  <si>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</si>
  <si>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</si>
  <si>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</si>
  <si>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</si>
  <si>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</si>
  <si>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</si>
  <si>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</si>
  <si>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</si>
  <si>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</si>
  <si>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</si>
  <si>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</si>
  <si>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</si>
  <si>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</si>
  <si>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</si>
  <si>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</si>
  <si>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</si>
  <si>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</si>
  <si>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</si>
  <si>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</si>
  <si>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</si>
  <si>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</si>
  <si>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</si>
  <si>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</si>
  <si>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</si>
  <si>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</si>
  <si>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</si>
  <si>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</si>
  <si>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</si>
  <si>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</si>
  <si>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</si>
  <si>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</si>
  <si>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</si>
  <si>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</si>
  <si>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</si>
  <si>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</si>
  <si>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</si>
  <si>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</si>
  <si>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</si>
  <si>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</si>
  <si>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</si>
  <si>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</si>
  <si>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</si>
  <si>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</si>
  <si>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</si>
  <si>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</si>
  <si>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</si>
  <si>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</si>
  <si>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</si>
  <si>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</si>
  <si>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</si>
  <si>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</si>
  <si>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</si>
  <si>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</si>
  <si>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</si>
  <si>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</si>
  <si>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</si>
  <si>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</si>
  <si>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</si>
  <si>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</si>
  <si>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</si>
  <si>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</si>
  <si>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</si>
  <si>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</si>
  <si>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</si>
  <si>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</si>
  <si>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</si>
  <si>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</si>
  <si>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</si>
  <si>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</si>
  <si>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</si>
  <si>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</si>
  <si>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</si>
  <si>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</si>
  <si>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</si>
  <si>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</si>
  <si>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</si>
  <si>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</si>
  <si>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</si>
  <si>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</si>
  <si>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</si>
  <si>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</si>
  <si>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</si>
  <si>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</si>
  <si>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</si>
  <si>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</si>
  <si>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</si>
  <si>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</si>
  <si>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</si>
  <si>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</si>
  <si>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</si>
  <si>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</si>
  <si>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</si>
  <si>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</si>
  <si>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</si>
  <si>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</si>
  <si>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</si>
  <si>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</si>
  <si>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</si>
  <si>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</si>
  <si>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</si>
  <si>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</si>
  <si>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</si>
  <si>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</si>
  <si>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</si>
  <si>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</si>
  <si>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</si>
  <si>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</si>
  <si>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</si>
  <si>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</si>
  <si>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</si>
  <si>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</si>
  <si>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</si>
  <si>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</si>
  <si>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</si>
  <si>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</si>
  <si>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</si>
  <si>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</si>
  <si>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</si>
  <si>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</si>
  <si>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</si>
  <si>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</si>
  <si>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</si>
  <si>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</si>
  <si>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</si>
  <si>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</si>
  <si>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</si>
  <si>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</si>
  <si>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</si>
  <si>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</si>
  <si>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</si>
  <si>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</si>
  <si>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</si>
  <si>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</si>
  <si>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</si>
  <si>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</si>
  <si>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</si>
  <si>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</si>
  <si>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</si>
  <si>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</si>
  <si>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</si>
  <si>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</si>
  <si>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</si>
  <si>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</si>
  <si>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</si>
  <si>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</si>
  <si>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</si>
  <si>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</si>
  <si>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</si>
  <si>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</si>
  <si>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</si>
  <si>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</si>
  <si>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</si>
  <si>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</si>
  <si>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</si>
  <si>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</si>
  <si>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</si>
  <si>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</si>
  <si>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</si>
  <si>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</si>
  <si>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</si>
  <si>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</si>
  <si>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</si>
  <si>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</si>
  <si>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</si>
  <si>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</si>
  <si>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</si>
  <si>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</si>
  <si>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</si>
  <si>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</si>
  <si>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</si>
  <si>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</si>
  <si>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</si>
  <si>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</si>
  <si>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</si>
  <si>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</si>
  <si>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</si>
  <si>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</si>
  <si>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</si>
  <si>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</si>
  <si>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</si>
  <si>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</si>
  <si>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</si>
  <si>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</si>
  <si>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</si>
  <si>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</si>
  <si>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</si>
  <si>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</si>
  <si>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</si>
  <si>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</si>
  <si>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</si>
  <si>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</si>
  <si>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</si>
  <si>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</si>
  <si>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</si>
  <si>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</si>
  <si>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</si>
  <si>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</si>
  <si>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</si>
  <si>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</si>
  <si>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</si>
  <si>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</si>
  <si>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</si>
  <si>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</si>
  <si>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</si>
  <si>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</si>
  <si>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</si>
  <si>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</si>
  <si>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</si>
  <si>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</si>
  <si>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</si>
  <si>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</si>
  <si>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</si>
  <si>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</si>
  <si>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</si>
  <si>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</si>
  <si>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</si>
  <si>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</si>
  <si>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</si>
  <si>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</si>
  <si>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</si>
  <si>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</si>
  <si>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</si>
  <si>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</si>
  <si>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</si>
  <si>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</si>
  <si>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</si>
  <si>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</si>
  <si>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</si>
  <si>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</si>
  <si>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</si>
  <si>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</si>
  <si>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</si>
  <si>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</si>
  <si>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</si>
  <si>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</si>
  <si>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</si>
  <si>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</si>
  <si>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</si>
  <si>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</si>
  <si>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</si>
  <si>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</si>
  <si>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</si>
  <si>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</si>
  <si>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</si>
  <si>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</si>
  <si>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</si>
  <si>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</si>
  <si>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</si>
  <si>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</si>
  <si>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</si>
  <si>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</si>
  <si>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</si>
  <si>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</si>
  <si>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</si>
  <si>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</si>
  <si>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</si>
  <si>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</si>
  <si>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</si>
  <si>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</si>
  <si>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</si>
  <si>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</si>
  <si>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</si>
  <si>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</si>
  <si>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</si>
  <si>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</si>
  <si>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</si>
  <si>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</si>
  <si>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</si>
  <si>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</si>
  <si>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</si>
  <si>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</si>
  <si>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</si>
  <si>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</si>
  <si>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</si>
  <si>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</si>
  <si>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</si>
  <si>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</si>
  <si>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</si>
  <si>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</si>
  <si>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</si>
  <si>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</si>
  <si>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</si>
  <si>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</si>
  <si>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</si>
  <si>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</si>
  <si>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</si>
  <si>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</si>
  <si>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</si>
  <si>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</si>
  <si>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</si>
  <si>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</si>
  <si>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</si>
  <si>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</si>
  <si>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</si>
  <si>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</si>
  <si>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</si>
  <si>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</si>
  <si>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</si>
  <si>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</si>
  <si>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</si>
  <si>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</si>
  <si>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</si>
  <si>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</si>
  <si>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</si>
  <si>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</si>
  <si>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</si>
  <si>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</si>
  <si>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</si>
  <si>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</si>
  <si>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</si>
  <si>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</si>
  <si>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</si>
  <si>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</si>
  <si>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</si>
  <si>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</si>
  <si>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</si>
  <si>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</si>
  <si>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</si>
  <si>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</si>
  <si>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</si>
  <si>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</si>
  <si>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</si>
  <si>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</si>
  <si>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</si>
  <si>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</si>
  <si>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</si>
  <si>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</si>
  <si>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</si>
  <si>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</si>
  <si>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</si>
  <si>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</si>
  <si>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</si>
  <si>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</si>
  <si>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</si>
  <si>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</si>
  <si>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</si>
  <si>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</si>
  <si>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</si>
  <si>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</si>
  <si>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</si>
  <si>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</si>
  <si>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</si>
  <si>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</si>
  <si>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</si>
  <si>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</si>
  <si>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</si>
  <si>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</si>
  <si>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</si>
  <si>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</si>
  <si>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</si>
  <si>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</si>
  <si>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</si>
  <si>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</si>
  <si>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</si>
  <si>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</si>
  <si>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</si>
  <si>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</si>
  <si>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</si>
  <si>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</si>
  <si>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</si>
  <si>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</si>
  <si>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</si>
  <si>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</si>
  <si>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</si>
  <si>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</si>
  <si>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</si>
  <si>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</si>
  <si>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</si>
  <si>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</si>
  <si>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</si>
  <si>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</si>
  <si>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</si>
  <si>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</si>
  <si>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</si>
  <si>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</si>
  <si>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</si>
  <si>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</si>
  <si>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</si>
  <si>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</si>
  <si>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</si>
  <si>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</si>
  <si>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</si>
  <si>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</si>
  <si>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</si>
  <si>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</si>
  <si>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</si>
  <si>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</si>
  <si>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</si>
  <si>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</si>
  <si>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</si>
  <si>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</si>
  <si>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</si>
  <si>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</si>
  <si>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</si>
  <si>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</si>
  <si>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</si>
  <si>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</si>
  <si>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</si>
  <si>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</si>
  <si>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</si>
  <si>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</si>
  <si>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</si>
  <si>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</si>
  <si>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</si>
  <si>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</si>
  <si>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</si>
  <si>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</si>
  <si>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</si>
  <si>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</si>
  <si>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</si>
  <si>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</si>
  <si>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</si>
  <si>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</si>
  <si>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</si>
  <si>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</si>
  <si>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</si>
  <si>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</si>
  <si>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</si>
  <si>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</si>
  <si>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</si>
  <si>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</si>
  <si>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</si>
  <si>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</si>
  <si>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</si>
  <si>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</si>
  <si>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</si>
  <si>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</si>
  <si>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</si>
  <si>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</si>
  <si>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</si>
  <si>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</si>
  <si>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</si>
  <si>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</si>
  <si>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</si>
  <si>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</si>
  <si>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</si>
  <si>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</si>
  <si>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</si>
  <si>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</si>
  <si>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</si>
  <si>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</si>
  <si>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</si>
  <si>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</si>
  <si>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</si>
  <si>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</si>
  <si>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</si>
  <si>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</si>
  <si>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</si>
  <si>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</si>
  <si>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</si>
  <si>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</si>
  <si>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</si>
  <si>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</si>
  <si>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</si>
  <si>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</si>
  <si>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</si>
  <si>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</si>
  <si>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</si>
  <si>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</si>
  <si>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</si>
  <si>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</si>
  <si>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</si>
  <si>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</si>
  <si>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</si>
  <si>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</si>
  <si>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</si>
  <si>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</si>
  <si>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</si>
  <si>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</si>
  <si>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</si>
  <si>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</si>
  <si>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</si>
  <si>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</si>
  <si>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</si>
  <si>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</si>
  <si>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</si>
  <si>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</si>
  <si>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</si>
  <si>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</si>
  <si>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</si>
  <si>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</si>
  <si>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</si>
  <si>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</si>
  <si>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</si>
  <si>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</si>
  <si>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</si>
  <si>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</si>
  <si>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</si>
  <si>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</si>
  <si>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</si>
  <si>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</si>
  <si>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</si>
  <si>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</si>
  <si>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</si>
  <si>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</si>
  <si>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</si>
  <si>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</si>
  <si>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</si>
  <si>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</si>
  <si>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</si>
  <si>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</si>
  <si>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</si>
  <si>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</si>
  <si>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</si>
  <si>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</si>
  <si>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</si>
  <si>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</si>
  <si>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</si>
  <si>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</si>
  <si>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</si>
  <si>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</si>
  <si>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</si>
  <si>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</si>
  <si>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</si>
  <si>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</si>
  <si>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</si>
  <si>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</si>
  <si>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</si>
  <si>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</si>
  <si>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</si>
  <si>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</si>
  <si>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</si>
  <si>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</si>
  <si>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</si>
  <si>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</si>
  <si>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</si>
  <si>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</si>
  <si>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</si>
  <si>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</si>
  <si>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</si>
  <si>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</si>
  <si>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</si>
  <si>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</si>
  <si>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</si>
  <si>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</si>
  <si>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</si>
  <si>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</si>
  <si>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</si>
  <si>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</si>
  <si>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</si>
  <si>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</si>
  <si>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</si>
  <si>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</si>
  <si>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</si>
  <si>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</si>
  <si>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</si>
  <si>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</si>
  <si>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</si>
  <si>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</si>
  <si>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</si>
  <si>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</si>
  <si>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</si>
  <si>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</si>
  <si>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</si>
  <si>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</si>
  <si>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</si>
  <si>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</si>
  <si>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</si>
  <si>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</si>
  <si>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</si>
  <si>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</si>
  <si>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</si>
  <si>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</si>
  <si>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</si>
  <si>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</si>
  <si>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</si>
  <si>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</si>
  <si>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</si>
  <si>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</si>
  <si>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</si>
  <si>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</si>
  <si>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</si>
  <si>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</si>
  <si>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</si>
  <si>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</si>
  <si>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</si>
  <si>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</si>
  <si>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</si>
  <si>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</si>
  <si>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</si>
  <si>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</si>
  <si>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</si>
  <si>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</si>
  <si>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</si>
  <si>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</si>
  <si>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</si>
  <si>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</si>
  <si>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</si>
  <si>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</si>
  <si>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</si>
  <si>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</si>
  <si>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</si>
  <si>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</si>
  <si>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</si>
  <si>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</si>
  <si>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</si>
  <si>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</si>
  <si>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</si>
  <si>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</si>
  <si>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</si>
  <si>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</si>
  <si>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</si>
  <si>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</si>
  <si>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</si>
  <si>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</si>
  <si>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</si>
  <si>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</si>
  <si>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</si>
  <si>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</si>
  <si>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</si>
  <si>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</si>
  <si>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</si>
  <si>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</si>
  <si>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</si>
  <si>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</si>
  <si>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</si>
  <si>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</si>
  <si>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</si>
  <si>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</si>
  <si>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</si>
  <si>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</si>
  <si>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</si>
  <si>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</si>
  <si>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</si>
  <si>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</si>
  <si>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</si>
  <si>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</si>
  <si>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</si>
  <si>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</si>
  <si>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</si>
  <si>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</si>
  <si>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</si>
  <si>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</si>
  <si>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</si>
  <si>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</si>
  <si>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</si>
  <si>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</si>
  <si>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</si>
  <si>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</si>
  <si>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</si>
  <si>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</si>
  <si>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</si>
  <si>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</si>
  <si>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</si>
  <si>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</si>
  <si>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</si>
  <si>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</si>
  <si>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</si>
  <si>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</si>
  <si>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</si>
  <si>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</si>
  <si>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</si>
  <si>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</si>
  <si>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</si>
  <si>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</si>
  <si>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</si>
  <si>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</si>
  <si>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</si>
  <si>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</si>
  <si>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</si>
  <si>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</si>
  <si>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</si>
  <si>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</si>
  <si>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</si>
  <si>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</si>
  <si>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</si>
  <si>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</si>
  <si>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</si>
  <si>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</si>
  <si>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</si>
  <si>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</si>
  <si>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</si>
  <si>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</si>
  <si>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</si>
  <si>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</si>
  <si>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</si>
  <si>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</si>
  <si>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</si>
  <si>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</si>
  <si>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</si>
  <si>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</si>
  <si>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</si>
  <si>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</si>
  <si>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</si>
  <si>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</si>
  <si>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</si>
  <si>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</si>
  <si>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</si>
  <si>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</si>
  <si>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</si>
  <si>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</si>
  <si>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</si>
  <si>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</si>
  <si>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</si>
  <si>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</si>
  <si>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</si>
  <si>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</si>
  <si>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</si>
  <si>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</si>
  <si>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</si>
  <si>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</si>
  <si>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</si>
  <si>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</si>
  <si>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</si>
  <si>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</si>
  <si>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</si>
  <si>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</si>
  <si>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</si>
  <si>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</si>
  <si>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</si>
  <si>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</si>
  <si>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</si>
  <si>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</si>
  <si>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</si>
  <si>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</si>
  <si>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</si>
  <si>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</si>
  <si>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</si>
  <si>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</si>
  <si>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</si>
  <si>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</si>
  <si>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</si>
  <si>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</si>
  <si>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</si>
  <si>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</si>
  <si>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</si>
  <si>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</si>
  <si>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</si>
  <si>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</si>
  <si>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</si>
  <si>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</si>
  <si>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</si>
  <si>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</si>
  <si>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</si>
  <si>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</si>
  <si>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</si>
  <si>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</si>
  <si>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</si>
  <si>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</si>
  <si>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</si>
  <si>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</si>
  <si>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</si>
  <si>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</si>
  <si>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</si>
  <si>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</si>
  <si>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</si>
  <si>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</si>
  <si>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</si>
  <si>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</si>
  <si>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</si>
  <si>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</si>
  <si>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</si>
  <si>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</si>
  <si>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</si>
  <si>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</si>
  <si>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</si>
  <si>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</si>
  <si>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</si>
  <si>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</si>
  <si>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</si>
  <si>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</si>
  <si>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</si>
  <si>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</si>
  <si>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</si>
  <si>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</si>
  <si>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</si>
  <si>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</si>
  <si>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</si>
  <si>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</si>
  <si>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</si>
  <si>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</si>
  <si>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</si>
  <si>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</si>
  <si>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</si>
  <si>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</si>
  <si>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</si>
  <si>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</si>
  <si>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</si>
  <si>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</si>
  <si>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</si>
  <si>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</si>
  <si>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</si>
  <si>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</si>
  <si>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</si>
  <si>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</si>
  <si>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</si>
  <si>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</si>
  <si>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</si>
  <si>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</si>
  <si>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</si>
  <si>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</si>
  <si>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</si>
  <si>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</si>
  <si>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</si>
  <si>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</si>
  <si>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</si>
  <si>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</si>
  <si>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</si>
  <si>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</si>
  <si>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</si>
  <si>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</si>
  <si>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</si>
  <si>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</si>
  <si>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</si>
  <si>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</si>
  <si>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</si>
  <si>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</si>
  <si>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</si>
  <si>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</si>
  <si>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</si>
  <si>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</si>
  <si>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</si>
  <si>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</si>
  <si>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</si>
  <si>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</si>
  <si>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</si>
  <si>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</si>
  <si>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</si>
  <si>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</si>
  <si>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</si>
  <si>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</si>
  <si>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</si>
  <si>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</si>
  <si>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</si>
  <si>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</si>
  <si>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</si>
  <si>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</si>
  <si>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</si>
  <si>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</si>
  <si>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</si>
  <si>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</si>
  <si>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</si>
  <si>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</si>
  <si>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</si>
  <si>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</si>
  <si>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</si>
  <si>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</si>
  <si>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</si>
  <si>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</si>
  <si>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</si>
  <si>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</si>
  <si>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</si>
  <si>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</si>
  <si>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</si>
  <si>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</si>
  <si>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</si>
  <si>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</si>
  <si>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</si>
  <si>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</si>
  <si>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</si>
  <si>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</si>
  <si>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</si>
  <si>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</si>
  <si>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</si>
  <si>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</si>
  <si>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</si>
  <si>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</si>
  <si>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</si>
  <si>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</si>
  <si>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</si>
  <si>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</si>
  <si>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</si>
  <si>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</si>
  <si>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</si>
  <si>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</si>
  <si>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</si>
  <si>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</si>
  <si>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</si>
  <si>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</si>
  <si>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</si>
  <si>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</si>
  <si>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</si>
  <si>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</si>
  <si>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</si>
  <si>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</si>
  <si>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</si>
  <si>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</si>
  <si>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</si>
  <si>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</si>
  <si>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</si>
  <si>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</si>
  <si>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</si>
  <si>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</si>
  <si>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</si>
  <si>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</si>
  <si>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</si>
  <si>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</si>
  <si>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</si>
  <si>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</si>
  <si>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</si>
  <si>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</si>
  <si>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</si>
  <si>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</si>
  <si>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</si>
  <si>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</si>
  <si>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</si>
  <si>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</si>
  <si>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</si>
  <si>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</si>
  <si>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</si>
  <si>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</si>
  <si>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</si>
  <si>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</si>
  <si>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</si>
  <si>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</si>
  <si>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</si>
  <si>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</si>
  <si>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</si>
  <si>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</si>
  <si>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</si>
  <si>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</si>
  <si>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</si>
  <si>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</si>
  <si>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</si>
  <si>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</si>
  <si>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</si>
  <si>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</si>
  <si>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</si>
  <si>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</si>
  <si>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</si>
  <si>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</si>
  <si>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</si>
  <si>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</si>
  <si>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</si>
  <si>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</si>
  <si>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</si>
  <si>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</si>
  <si>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</si>
  <si>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</si>
  <si>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</si>
  <si>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</si>
  <si>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</si>
  <si>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</si>
  <si>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</si>
  <si>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</si>
  <si>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</si>
  <si>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</si>
  <si>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</si>
  <si>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</si>
  <si>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</si>
  <si>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</si>
  <si>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</si>
  <si>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</si>
  <si>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</si>
  <si>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</si>
  <si>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</si>
  <si>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</si>
  <si>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</si>
  <si>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</si>
  <si>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</si>
  <si>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</si>
  <si>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</si>
  <si>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</si>
  <si>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</si>
  <si>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</si>
  <si>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</si>
  <si>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</si>
  <si>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</si>
  <si>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</si>
  <si>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</si>
  <si>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</si>
  <si>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</si>
  <si>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</si>
  <si>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</si>
  <si>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</si>
  <si>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</si>
  <si>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</si>
  <si>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</si>
  <si>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</si>
  <si>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</si>
  <si>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</si>
  <si>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</si>
  <si>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</si>
  <si>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</si>
  <si>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</si>
  <si>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</si>
  <si>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</si>
  <si>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</si>
  <si>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</si>
  <si>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</si>
  <si>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</si>
  <si>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</si>
  <si>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</si>
  <si>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</si>
  <si>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</si>
  <si>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</si>
  <si>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</si>
  <si>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</si>
  <si>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</si>
  <si>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</si>
  <si>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</si>
  <si>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</si>
  <si>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</si>
  <si>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</si>
  <si>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</si>
  <si>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</si>
  <si>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</si>
  <si>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</si>
  <si>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</si>
  <si>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</si>
  <si>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</si>
  <si>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</si>
  <si>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</si>
  <si>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</si>
  <si>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</si>
  <si>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</si>
  <si>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</si>
  <si>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</si>
  <si>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</si>
  <si>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</si>
  <si>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</si>
  <si>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</si>
  <si>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</si>
  <si>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</si>
  <si>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</si>
  <si>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</si>
  <si>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</si>
  <si>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</si>
  <si>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</si>
  <si>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</si>
  <si>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</si>
  <si>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</si>
  <si>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</si>
  <si>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</si>
  <si>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</si>
  <si>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</si>
  <si>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</si>
  <si>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</si>
  <si>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</si>
  <si>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</si>
  <si>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</si>
  <si>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</si>
  <si>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</si>
  <si>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</si>
  <si>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</si>
  <si>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</si>
  <si>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</si>
  <si>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</si>
  <si>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</si>
  <si>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</si>
  <si>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</si>
  <si>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</si>
  <si>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</si>
  <si>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</si>
  <si>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</si>
  <si>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</si>
  <si>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</si>
  <si>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</si>
  <si>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</si>
  <si>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</si>
  <si>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</si>
  <si>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</si>
  <si>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</si>
  <si>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</si>
  <si>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</si>
  <si>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</si>
  <si>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</si>
  <si>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</si>
  <si>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</si>
  <si>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</si>
  <si>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</si>
  <si>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</si>
  <si>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</si>
  <si>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</si>
  <si>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</si>
  <si>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</si>
  <si>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</si>
  <si>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</si>
  <si>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</si>
  <si>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</si>
  <si>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</si>
  <si>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</si>
  <si>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</si>
  <si>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</si>
  <si>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</si>
  <si>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</si>
  <si>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</si>
  <si>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</si>
  <si>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</si>
  <si>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</si>
  <si>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</si>
  <si>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</si>
  <si>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</si>
  <si>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</si>
  <si>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</si>
  <si>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</si>
  <si>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</si>
  <si>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</si>
  <si>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</si>
  <si>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</si>
  <si>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</si>
  <si>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</si>
  <si>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</si>
  <si>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</si>
  <si>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</si>
  <si>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</si>
  <si>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</si>
  <si>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</si>
  <si>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</si>
  <si>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</si>
  <si>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</si>
  <si>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</si>
  <si>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</si>
  <si>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</si>
  <si>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</si>
  <si>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</si>
  <si>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</si>
  <si>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</si>
  <si>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</si>
  <si>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</si>
  <si>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</si>
  <si>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</si>
  <si>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</si>
  <si>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</si>
  <si>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</si>
  <si>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</si>
  <si>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</si>
  <si>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</si>
  <si>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</si>
  <si>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</si>
  <si>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</si>
  <si>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</si>
  <si>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</si>
  <si>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</si>
  <si>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</si>
  <si>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</si>
  <si>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</si>
  <si>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</si>
  <si>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</si>
  <si>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</si>
  <si>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</si>
  <si>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</si>
  <si>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</si>
  <si>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</si>
  <si>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</si>
  <si>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</si>
  <si>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</si>
  <si>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</si>
  <si>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</si>
  <si>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</si>
  <si>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</si>
  <si>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</si>
  <si>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</si>
  <si>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</si>
  <si>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</si>
  <si>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</si>
  <si>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</si>
  <si>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</si>
  <si>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</si>
  <si>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</si>
  <si>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</si>
  <si>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</si>
  <si>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</si>
  <si>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</si>
  <si>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</si>
  <si>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</si>
  <si>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</si>
  <si>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</si>
  <si>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</si>
  <si>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</si>
  <si>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</si>
  <si>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</si>
  <si>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</si>
  <si>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</si>
  <si>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</si>
  <si>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</si>
  <si>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</si>
  <si>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</si>
  <si>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</si>
  <si>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</si>
  <si>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</si>
  <si>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</si>
  <si>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</si>
  <si>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</si>
  <si>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</si>
  <si>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</si>
  <si>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</si>
  <si>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</si>
  <si>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</si>
  <si>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</si>
  <si>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</si>
  <si>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</si>
  <si>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</si>
  <si>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</si>
  <si>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</si>
  <si>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</si>
  <si>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</si>
  <si>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</si>
  <si>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</si>
  <si>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</si>
  <si>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</si>
  <si>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</si>
  <si>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</si>
  <si>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</si>
  <si>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</si>
  <si>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</si>
  <si>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</si>
  <si>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</si>
  <si>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Subsidio de plan de seguro complementario del 80% de la DIGEIG</t>
  </si>
  <si>
    <t>Contribuciones al seguro de salud</t>
  </si>
  <si>
    <t>Publicidad y propaganda</t>
  </si>
  <si>
    <t>Publicación de vacantes y concursos</t>
  </si>
  <si>
    <t>Publicación de vacantes y concursos, grabación de spots publicitarios</t>
  </si>
  <si>
    <t>Servicios de reproducción</t>
  </si>
  <si>
    <t>Impresión y Encuadernación</t>
  </si>
  <si>
    <t>Transporte de pasajeros</t>
  </si>
  <si>
    <t>Ticket áereos y pasajes dentro del país</t>
  </si>
  <si>
    <t>Alquileres de mobiliarios</t>
  </si>
  <si>
    <t>Alquiler de mesas, sillas y manteles</t>
  </si>
  <si>
    <t>Seguro de bienes inmuebles</t>
  </si>
  <si>
    <t>Poliza de seguro contra incendios, robos y catastrofes</t>
  </si>
  <si>
    <t>Servicios de mantenimiento y reparación</t>
  </si>
  <si>
    <t>Mantenimiento y reparación de infraestructura</t>
  </si>
  <si>
    <t>Instalaciones eléctricas</t>
  </si>
  <si>
    <t>Mantenimiento y reparación de instalaciones eléctricas</t>
  </si>
  <si>
    <t>Mantenimiento de equipos</t>
  </si>
  <si>
    <t>Mantenimiento de equipos e inmuebles de oficina.</t>
  </si>
  <si>
    <t>Mantenimiento de vehículos</t>
  </si>
  <si>
    <t>Mantenimiento de equipos de transporte.</t>
  </si>
  <si>
    <t>Reparación y mantenimiento</t>
  </si>
  <si>
    <t>Mantenimiento de aires acondicionado.</t>
  </si>
  <si>
    <t>Gastos judiciales</t>
  </si>
  <si>
    <t>Gastos de alguacil</t>
  </si>
  <si>
    <t>Comisión Bancaria</t>
  </si>
  <si>
    <t>Comisiones y gastos bancarios</t>
  </si>
  <si>
    <t>Fumigación</t>
  </si>
  <si>
    <t>Lavandería</t>
  </si>
  <si>
    <t>Eventos generales</t>
  </si>
  <si>
    <t>Actividad de Integración por fiesta Navideña</t>
  </si>
  <si>
    <t>Festividades</t>
  </si>
  <si>
    <t>Decoración para la institución con motivos de cumpleaños</t>
  </si>
  <si>
    <t>Actuaciones artísticas</t>
  </si>
  <si>
    <t>Contratación de animador</t>
  </si>
  <si>
    <t>Servicios jurídicos</t>
  </si>
  <si>
    <t xml:space="preserve">Material contratos jurídicos. </t>
  </si>
  <si>
    <t>Servicios de capacitación</t>
  </si>
  <si>
    <t>Servicios técnicos profesionales</t>
  </si>
  <si>
    <t>Cablear puntos de red, Camareros, Consultorías</t>
  </si>
  <si>
    <t>Camarero y Consultorías</t>
  </si>
  <si>
    <t>Camareros</t>
  </si>
  <si>
    <t>Servicios de alimentación</t>
  </si>
  <si>
    <t>Refrigerio para actividades</t>
  </si>
  <si>
    <t>Alimentos y bebidas para personas</t>
  </si>
  <si>
    <t>Alimentos y bebidas (Agua, Café, azucar)</t>
  </si>
  <si>
    <t>Productos Forestales</t>
  </si>
  <si>
    <t>Productos forestales</t>
  </si>
  <si>
    <t>Prendas y accesorios de vestir</t>
  </si>
  <si>
    <t>Uniformes</t>
  </si>
  <si>
    <t>Papel de escritorio</t>
  </si>
  <si>
    <t>Suministrar papel de escritorio: bond, satinado, cartonite, etc.</t>
  </si>
  <si>
    <t>Productos de papel y cartón</t>
  </si>
  <si>
    <t>Productos de Artes Gráficas</t>
  </si>
  <si>
    <t>Señaletica</t>
  </si>
  <si>
    <t>Libros, revistas y periódicos</t>
  </si>
  <si>
    <t>Suscripción anual a periódicos nacionales.</t>
  </si>
  <si>
    <t>Productos medicinales</t>
  </si>
  <si>
    <t>Botiquín</t>
  </si>
  <si>
    <t>Llantas y neumáticos</t>
  </si>
  <si>
    <t>Suministro de llantas y neumáticos</t>
  </si>
  <si>
    <t>Artículos de plástico</t>
  </si>
  <si>
    <t xml:space="preserve">Material gastable </t>
  </si>
  <si>
    <t>Estructuras metálicas acabadas</t>
  </si>
  <si>
    <t>Estructura de baños para personas discapacitadas</t>
  </si>
  <si>
    <t>Combustible</t>
  </si>
  <si>
    <t>Gasolina, Gasoil y GLP</t>
  </si>
  <si>
    <t>Otros productos químicos y conexos</t>
  </si>
  <si>
    <t>Suministro de limpieza</t>
  </si>
  <si>
    <t>Material de limpieza</t>
  </si>
  <si>
    <t>Útiles de oficina e informática</t>
  </si>
  <si>
    <t>Útiles de cocina y comedor</t>
  </si>
  <si>
    <t>Suministro de útiles de cocina</t>
  </si>
  <si>
    <t>Productos eléctricos y afines</t>
  </si>
  <si>
    <t>Suministrar productos eléctricos</t>
  </si>
  <si>
    <t xml:space="preserve">Ayudas y donaciones </t>
  </si>
  <si>
    <t xml:space="preserve">Ofrenda de misa </t>
  </si>
  <si>
    <t xml:space="preserve">Premios </t>
  </si>
  <si>
    <t>Muebles de oficina y estantería</t>
  </si>
  <si>
    <t>Mobiliario de oficina</t>
  </si>
  <si>
    <t>Equipos informáticos</t>
  </si>
  <si>
    <t>Equipos informáticos y accesorios</t>
  </si>
  <si>
    <t>Electrodomésticos</t>
  </si>
  <si>
    <t>Aparatos electrodomésticos</t>
  </si>
  <si>
    <t>Equipos y Aparatos Audiovisuales</t>
  </si>
  <si>
    <t>Sistema de aire acondicionado</t>
  </si>
  <si>
    <t>Sistema de prevención y supresión de incendios</t>
  </si>
  <si>
    <t>Informáticas</t>
  </si>
  <si>
    <t>Licencias de sistemas informáticos</t>
  </si>
  <si>
    <t>Premios para el concurso con estudiantes Transparencia</t>
  </si>
  <si>
    <t>Compra de equipos de fotográfia y audiovisuales.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</si>
</sst>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94">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3"/>
    </tableStyle>
    <tableStyle name="Table Style 2" pivot="0" count="2" xr9:uid="{00000000-0011-0000-FFFF-FFFF01000000}">
      <tableStyleElement type="wholeTable" dxfId="92"/>
      <tableStyleElement type="totalRow" dxfId="91"/>
    </tableStyle>
    <tableStyle name="Table Style 3" pivot="0" count="3" xr9:uid="{00000000-0011-0000-FFFF-FFFF02000000}">
      <tableStyleElement type="lastColumn" dxfId="90"/>
      <tableStyleElement type="firstRowStripe" dxfId="89"/>
      <tableStyleElement type="secondRowStripe" dxfId="88"/>
    </tableStyle>
    <tableStyle name="Table Style 4" pivot="0" count="2" xr9:uid="{00000000-0011-0000-FFFF-FFFF03000000}">
      <tableStyleElement type="firstRowStripe" dxfId="87"/>
      <tableStyleElement type="secondColumnStripe" dxfId="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1740</xdr:row>
          <xdr:rowOff>0</xdr:rowOff>
        </xdr:from>
        <xdr:to>
          <xdr:col>1</xdr:col>
          <xdr:colOff>457200</xdr:colOff>
          <xdr:row>1741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443" name="Button 3083"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444" name="Button 3084" hidden="1">
              <a:extLst>
                <a:ext uri="{63B3BB69-23CF-44E3-9099-C40C66FF867C}">
                  <a14:compatExt spid="_x0000_s18444"/>
                </a:ext>
                <a:ext uri="{FF2B5EF4-FFF2-40B4-BE49-F238E27FC236}">
                  <a16:creationId xmlns:a16="http://schemas.microsoft.com/office/drawing/2014/main" id="{00000000-0008-0000-0100-00000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445" name="Button 3085" hidden="1">
              <a:extLst>
                <a:ext uri="{63B3BB69-23CF-44E3-9099-C40C66FF867C}">
                  <a14:compatExt spid="_x0000_s18445"/>
                </a:ext>
                <a:ext uri="{FF2B5EF4-FFF2-40B4-BE49-F238E27FC236}">
                  <a16:creationId xmlns:a16="http://schemas.microsoft.com/office/drawing/2014/main" id="{00000000-0008-0000-0100-00000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490" name="Button 3130" hidden="1">
              <a:extLst>
                <a:ext uri="{63B3BB69-23CF-44E3-9099-C40C66FF867C}">
                  <a14:compatExt spid="_x0000_s18490"/>
                </a:ext>
                <a:ext uri="{FF2B5EF4-FFF2-40B4-BE49-F238E27FC236}">
                  <a16:creationId xmlns:a16="http://schemas.microsoft.com/office/drawing/2014/main" id="{00000000-0008-0000-0100-00003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491" name="Button 3131" hidden="1">
              <a:extLst>
                <a:ext uri="{63B3BB69-23CF-44E3-9099-C40C66FF867C}">
                  <a14:compatExt spid="_x0000_s18491"/>
                </a:ext>
                <a:ext uri="{FF2B5EF4-FFF2-40B4-BE49-F238E27FC236}">
                  <a16:creationId xmlns:a16="http://schemas.microsoft.com/office/drawing/2014/main" id="{00000000-0008-0000-0100-00003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534" name="Button 3174" hidden="1">
              <a:extLst>
                <a:ext uri="{63B3BB69-23CF-44E3-9099-C40C66FF867C}">
                  <a14:compatExt spid="_x0000_s18534"/>
                </a:ext>
                <a:ext uri="{FF2B5EF4-FFF2-40B4-BE49-F238E27FC236}">
                  <a16:creationId xmlns:a16="http://schemas.microsoft.com/office/drawing/2014/main" id="{00000000-0008-0000-0100-00006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555" name="Button 3195" hidden="1">
              <a:extLst>
                <a:ext uri="{63B3BB69-23CF-44E3-9099-C40C66FF867C}">
                  <a14:compatExt spid="_x0000_s18555"/>
                </a:ext>
                <a:ext uri="{FF2B5EF4-FFF2-40B4-BE49-F238E27FC236}">
                  <a16:creationId xmlns:a16="http://schemas.microsoft.com/office/drawing/2014/main" id="{00000000-0008-0000-0100-00007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574" name="Button 3214" hidden="1">
              <a:extLst>
                <a:ext uri="{63B3BB69-23CF-44E3-9099-C40C66FF867C}">
                  <a14:compatExt spid="_x0000_s18574"/>
                </a:ext>
                <a:ext uri="{FF2B5EF4-FFF2-40B4-BE49-F238E27FC236}">
                  <a16:creationId xmlns:a16="http://schemas.microsoft.com/office/drawing/2014/main" id="{00000000-0008-0000-0100-00008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575" name="Button 3215"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576" name="Button 3216" hidden="1">
              <a:extLst>
                <a:ext uri="{63B3BB69-23CF-44E3-9099-C40C66FF867C}">
                  <a14:compatExt spid="_x0000_s18576"/>
                </a:ext>
                <a:ext uri="{FF2B5EF4-FFF2-40B4-BE49-F238E27FC236}">
                  <a16:creationId xmlns:a16="http://schemas.microsoft.com/office/drawing/2014/main" id="{00000000-0008-0000-0100-00009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596" name="Button 3236" hidden="1">
              <a:extLst>
                <a:ext uri="{63B3BB69-23CF-44E3-9099-C40C66FF867C}">
                  <a14:compatExt spid="_x0000_s18596"/>
                </a:ext>
                <a:ext uri="{FF2B5EF4-FFF2-40B4-BE49-F238E27FC236}">
                  <a16:creationId xmlns:a16="http://schemas.microsoft.com/office/drawing/2014/main" id="{00000000-0008-0000-0100-0000A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597" name="Button 3237" hidden="1">
              <a:extLst>
                <a:ext uri="{63B3BB69-23CF-44E3-9099-C40C66FF867C}">
                  <a14:compatExt spid="_x0000_s18597"/>
                </a:ext>
                <a:ext uri="{FF2B5EF4-FFF2-40B4-BE49-F238E27FC236}">
                  <a16:creationId xmlns:a16="http://schemas.microsoft.com/office/drawing/2014/main" id="{00000000-0008-0000-0100-0000A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618" name="Button 3258" hidden="1">
              <a:extLst>
                <a:ext uri="{63B3BB69-23CF-44E3-9099-C40C66FF867C}">
                  <a14:compatExt spid="_x0000_s18618"/>
                </a:ext>
                <a:ext uri="{FF2B5EF4-FFF2-40B4-BE49-F238E27FC236}">
                  <a16:creationId xmlns:a16="http://schemas.microsoft.com/office/drawing/2014/main" id="{00000000-0008-0000-0100-0000B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619" name="Button 3259" hidden="1">
              <a:extLst>
                <a:ext uri="{63B3BB69-23CF-44E3-9099-C40C66FF867C}">
                  <a14:compatExt spid="_x0000_s18619"/>
                </a:ext>
                <a:ext uri="{FF2B5EF4-FFF2-40B4-BE49-F238E27FC236}">
                  <a16:creationId xmlns:a16="http://schemas.microsoft.com/office/drawing/2014/main" id="{00000000-0008-0000-0100-0000B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639" name="Button 3279" hidden="1">
              <a:extLst>
                <a:ext uri="{63B3BB69-23CF-44E3-9099-C40C66FF867C}">
                  <a14:compatExt spid="_x0000_s18639"/>
                </a:ext>
                <a:ext uri="{FF2B5EF4-FFF2-40B4-BE49-F238E27FC236}">
                  <a16:creationId xmlns:a16="http://schemas.microsoft.com/office/drawing/2014/main" id="{00000000-0008-0000-0100-0000C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640" name="Button 3280" hidden="1">
              <a:extLst>
                <a:ext uri="{63B3BB69-23CF-44E3-9099-C40C66FF867C}">
                  <a14:compatExt spid="_x0000_s18640"/>
                </a:ext>
                <a:ext uri="{FF2B5EF4-FFF2-40B4-BE49-F238E27FC236}">
                  <a16:creationId xmlns:a16="http://schemas.microsoft.com/office/drawing/2014/main" id="{00000000-0008-0000-0100-0000D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659" name="Button 3299"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660" name="Button 3300" hidden="1">
              <a:extLst>
                <a:ext uri="{63B3BB69-23CF-44E3-9099-C40C66FF867C}">
                  <a14:compatExt spid="_x0000_s18660"/>
                </a:ext>
                <a:ext uri="{FF2B5EF4-FFF2-40B4-BE49-F238E27FC236}">
                  <a16:creationId xmlns:a16="http://schemas.microsoft.com/office/drawing/2014/main" id="{00000000-0008-0000-0100-0000E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661" name="Button 3301" hidden="1">
              <a:extLst>
                <a:ext uri="{63B3BB69-23CF-44E3-9099-C40C66FF867C}">
                  <a14:compatExt spid="_x0000_s18661"/>
                </a:ext>
                <a:ext uri="{FF2B5EF4-FFF2-40B4-BE49-F238E27FC236}">
                  <a16:creationId xmlns:a16="http://schemas.microsoft.com/office/drawing/2014/main" id="{00000000-0008-0000-0100-0000E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680" name="Button 3320"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681" name="Button 3321" hidden="1">
              <a:extLst>
                <a:ext uri="{63B3BB69-23CF-44E3-9099-C40C66FF867C}">
                  <a14:compatExt spid="_x0000_s18681"/>
                </a:ext>
                <a:ext uri="{FF2B5EF4-FFF2-40B4-BE49-F238E27FC236}">
                  <a16:creationId xmlns:a16="http://schemas.microsoft.com/office/drawing/2014/main" id="{00000000-0008-0000-0100-0000F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682" name="Button 3322" hidden="1">
              <a:extLst>
                <a:ext uri="{63B3BB69-23CF-44E3-9099-C40C66FF867C}">
                  <a14:compatExt spid="_x0000_s18682"/>
                </a:ext>
                <a:ext uri="{FF2B5EF4-FFF2-40B4-BE49-F238E27FC236}">
                  <a16:creationId xmlns:a16="http://schemas.microsoft.com/office/drawing/2014/main" id="{00000000-0008-0000-0100-0000F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731" name="Button 3371" hidden="1">
              <a:extLst>
                <a:ext uri="{63B3BB69-23CF-44E3-9099-C40C66FF867C}">
                  <a14:compatExt spid="_x0000_s18731"/>
                </a:ext>
                <a:ext uri="{FF2B5EF4-FFF2-40B4-BE49-F238E27FC236}">
                  <a16:creationId xmlns:a16="http://schemas.microsoft.com/office/drawing/2014/main" id="{00000000-0008-0000-0100-00002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732" name="Button 3372" hidden="1">
              <a:extLst>
                <a:ext uri="{63B3BB69-23CF-44E3-9099-C40C66FF867C}">
                  <a14:compatExt spid="_x0000_s18732"/>
                </a:ext>
                <a:ext uri="{FF2B5EF4-FFF2-40B4-BE49-F238E27FC236}">
                  <a16:creationId xmlns:a16="http://schemas.microsoft.com/office/drawing/2014/main" id="{00000000-0008-0000-0100-00002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733" name="Button 3373" hidden="1">
              <a:extLst>
                <a:ext uri="{63B3BB69-23CF-44E3-9099-C40C66FF867C}">
                  <a14:compatExt spid="_x0000_s18733"/>
                </a:ext>
                <a:ext uri="{FF2B5EF4-FFF2-40B4-BE49-F238E27FC236}">
                  <a16:creationId xmlns:a16="http://schemas.microsoft.com/office/drawing/2014/main" id="{00000000-0008-0000-0100-00002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773" name="Button 3413" hidden="1">
              <a:extLst>
                <a:ext uri="{63B3BB69-23CF-44E3-9099-C40C66FF867C}">
                  <a14:compatExt spid="_x0000_s18773"/>
                </a:ext>
                <a:ext uri="{FF2B5EF4-FFF2-40B4-BE49-F238E27FC236}">
                  <a16:creationId xmlns:a16="http://schemas.microsoft.com/office/drawing/2014/main" id="{00000000-0008-0000-0100-00005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774" name="Button 3414" hidden="1">
              <a:extLst>
                <a:ext uri="{63B3BB69-23CF-44E3-9099-C40C66FF867C}">
                  <a14:compatExt spid="_x0000_s18774"/>
                </a:ext>
                <a:ext uri="{FF2B5EF4-FFF2-40B4-BE49-F238E27FC236}">
                  <a16:creationId xmlns:a16="http://schemas.microsoft.com/office/drawing/2014/main" id="{00000000-0008-0000-0100-00005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775" name="Button 3415" hidden="1">
              <a:extLst>
                <a:ext uri="{63B3BB69-23CF-44E3-9099-C40C66FF867C}">
                  <a14:compatExt spid="_x0000_s18775"/>
                </a:ext>
                <a:ext uri="{FF2B5EF4-FFF2-40B4-BE49-F238E27FC236}">
                  <a16:creationId xmlns:a16="http://schemas.microsoft.com/office/drawing/2014/main" id="{00000000-0008-0000-0100-00005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796" name="Button 3436" hidden="1">
              <a:extLst>
                <a:ext uri="{63B3BB69-23CF-44E3-9099-C40C66FF867C}">
                  <a14:compatExt spid="_x0000_s18796"/>
                </a:ext>
                <a:ext uri="{FF2B5EF4-FFF2-40B4-BE49-F238E27FC236}">
                  <a16:creationId xmlns:a16="http://schemas.microsoft.com/office/drawing/2014/main" id="{00000000-0008-0000-0100-00006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797" name="Button 3437" hidden="1">
              <a:extLst>
                <a:ext uri="{63B3BB69-23CF-44E3-9099-C40C66FF867C}">
                  <a14:compatExt spid="_x0000_s18797"/>
                </a:ext>
                <a:ext uri="{FF2B5EF4-FFF2-40B4-BE49-F238E27FC236}">
                  <a16:creationId xmlns:a16="http://schemas.microsoft.com/office/drawing/2014/main" id="{00000000-0008-0000-0100-00006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798" name="Button 3438" hidden="1">
              <a:extLst>
                <a:ext uri="{63B3BB69-23CF-44E3-9099-C40C66FF867C}">
                  <a14:compatExt spid="_x0000_s18798"/>
                </a:ext>
                <a:ext uri="{FF2B5EF4-FFF2-40B4-BE49-F238E27FC236}">
                  <a16:creationId xmlns:a16="http://schemas.microsoft.com/office/drawing/2014/main" id="{00000000-0008-0000-0100-00006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819" name="Button 3459" hidden="1">
              <a:extLst>
                <a:ext uri="{63B3BB69-23CF-44E3-9099-C40C66FF867C}">
                  <a14:compatExt spid="_x0000_s18819"/>
                </a:ext>
                <a:ext uri="{FF2B5EF4-FFF2-40B4-BE49-F238E27FC236}">
                  <a16:creationId xmlns:a16="http://schemas.microsoft.com/office/drawing/2014/main" id="{00000000-0008-0000-0100-00008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839" name="Button 3479" hidden="1">
              <a:extLst>
                <a:ext uri="{63B3BB69-23CF-44E3-9099-C40C66FF867C}">
                  <a14:compatExt spid="_x0000_s18839"/>
                </a:ext>
                <a:ext uri="{FF2B5EF4-FFF2-40B4-BE49-F238E27FC236}">
                  <a16:creationId xmlns:a16="http://schemas.microsoft.com/office/drawing/2014/main" id="{00000000-0008-0000-0100-00009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840" name="Button 3480" hidden="1">
              <a:extLst>
                <a:ext uri="{63B3BB69-23CF-44E3-9099-C40C66FF867C}">
                  <a14:compatExt spid="_x0000_s18840"/>
                </a:ext>
                <a:ext uri="{FF2B5EF4-FFF2-40B4-BE49-F238E27FC236}">
                  <a16:creationId xmlns:a16="http://schemas.microsoft.com/office/drawing/2014/main" id="{00000000-0008-0000-0100-00009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841" name="Button 3481" hidden="1">
              <a:extLst>
                <a:ext uri="{63B3BB69-23CF-44E3-9099-C40C66FF867C}">
                  <a14:compatExt spid="_x0000_s18841"/>
                </a:ext>
                <a:ext uri="{FF2B5EF4-FFF2-40B4-BE49-F238E27FC236}">
                  <a16:creationId xmlns:a16="http://schemas.microsoft.com/office/drawing/2014/main" id="{00000000-0008-0000-0100-00009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860" name="Button 3500" hidden="1">
              <a:extLst>
                <a:ext uri="{63B3BB69-23CF-44E3-9099-C40C66FF867C}">
                  <a14:compatExt spid="_x0000_s18860"/>
                </a:ext>
                <a:ext uri="{FF2B5EF4-FFF2-40B4-BE49-F238E27FC236}">
                  <a16:creationId xmlns:a16="http://schemas.microsoft.com/office/drawing/2014/main" id="{00000000-0008-0000-0100-0000A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861" name="Button 3501" hidden="1">
              <a:extLst>
                <a:ext uri="{63B3BB69-23CF-44E3-9099-C40C66FF867C}">
                  <a14:compatExt spid="_x0000_s18861"/>
                </a:ext>
                <a:ext uri="{FF2B5EF4-FFF2-40B4-BE49-F238E27FC236}">
                  <a16:creationId xmlns:a16="http://schemas.microsoft.com/office/drawing/2014/main" id="{00000000-0008-0000-0100-0000A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862" name="Button 3502" hidden="1">
              <a:extLst>
                <a:ext uri="{63B3BB69-23CF-44E3-9099-C40C66FF867C}">
                  <a14:compatExt spid="_x0000_s18862"/>
                </a:ext>
                <a:ext uri="{FF2B5EF4-FFF2-40B4-BE49-F238E27FC236}">
                  <a16:creationId xmlns:a16="http://schemas.microsoft.com/office/drawing/2014/main" id="{00000000-0008-0000-0100-0000A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891" name="Button 3531" hidden="1">
              <a:extLst>
                <a:ext uri="{63B3BB69-23CF-44E3-9099-C40C66FF867C}">
                  <a14:compatExt spid="_x0000_s18891"/>
                </a:ext>
                <a:ext uri="{FF2B5EF4-FFF2-40B4-BE49-F238E27FC236}">
                  <a16:creationId xmlns:a16="http://schemas.microsoft.com/office/drawing/2014/main" id="{00000000-0008-0000-0100-0000C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892" name="Button 3532" hidden="1">
              <a:extLst>
                <a:ext uri="{63B3BB69-23CF-44E3-9099-C40C66FF867C}">
                  <a14:compatExt spid="_x0000_s18892"/>
                </a:ext>
                <a:ext uri="{FF2B5EF4-FFF2-40B4-BE49-F238E27FC236}">
                  <a16:creationId xmlns:a16="http://schemas.microsoft.com/office/drawing/2014/main" id="{00000000-0008-0000-0100-0000C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893" name="Button 3533" hidden="1">
              <a:extLst>
                <a:ext uri="{63B3BB69-23CF-44E3-9099-C40C66FF867C}">
                  <a14:compatExt spid="_x0000_s18893"/>
                </a:ext>
                <a:ext uri="{FF2B5EF4-FFF2-40B4-BE49-F238E27FC236}">
                  <a16:creationId xmlns:a16="http://schemas.microsoft.com/office/drawing/2014/main" id="{00000000-0008-0000-0100-0000C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912" name="Button 3552" hidden="1">
              <a:extLst>
                <a:ext uri="{63B3BB69-23CF-44E3-9099-C40C66FF867C}">
                  <a14:compatExt spid="_x0000_s18912"/>
                </a:ext>
                <a:ext uri="{FF2B5EF4-FFF2-40B4-BE49-F238E27FC236}">
                  <a16:creationId xmlns:a16="http://schemas.microsoft.com/office/drawing/2014/main" id="{00000000-0008-0000-0100-0000E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913" name="Button 3553" hidden="1">
              <a:extLst>
                <a:ext uri="{63B3BB69-23CF-44E3-9099-C40C66FF867C}">
                  <a14:compatExt spid="_x0000_s18913"/>
                </a:ext>
                <a:ext uri="{FF2B5EF4-FFF2-40B4-BE49-F238E27FC236}">
                  <a16:creationId xmlns:a16="http://schemas.microsoft.com/office/drawing/2014/main" id="{00000000-0008-0000-0100-0000E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914" name="Button 3554" hidden="1">
              <a:extLst>
                <a:ext uri="{63B3BB69-23CF-44E3-9099-C40C66FF867C}">
                  <a14:compatExt spid="_x0000_s18914"/>
                </a:ext>
                <a:ext uri="{FF2B5EF4-FFF2-40B4-BE49-F238E27FC236}">
                  <a16:creationId xmlns:a16="http://schemas.microsoft.com/office/drawing/2014/main" id="{00000000-0008-0000-0100-0000E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933" name="Button 3573" hidden="1">
              <a:extLst>
                <a:ext uri="{63B3BB69-23CF-44E3-9099-C40C66FF867C}">
                  <a14:compatExt spid="_x0000_s18933"/>
                </a:ext>
                <a:ext uri="{FF2B5EF4-FFF2-40B4-BE49-F238E27FC236}">
                  <a16:creationId xmlns:a16="http://schemas.microsoft.com/office/drawing/2014/main" id="{00000000-0008-0000-0100-0000F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934" name="Button 3574" hidden="1">
              <a:extLst>
                <a:ext uri="{63B3BB69-23CF-44E3-9099-C40C66FF867C}">
                  <a14:compatExt spid="_x0000_s18934"/>
                </a:ext>
                <a:ext uri="{FF2B5EF4-FFF2-40B4-BE49-F238E27FC236}">
                  <a16:creationId xmlns:a16="http://schemas.microsoft.com/office/drawing/2014/main" id="{00000000-0008-0000-0100-0000F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954" name="Button 3594" hidden="1">
              <a:extLst>
                <a:ext uri="{63B3BB69-23CF-44E3-9099-C40C66FF867C}">
                  <a14:compatExt spid="_x0000_s18954"/>
                </a:ext>
                <a:ext uri="{FF2B5EF4-FFF2-40B4-BE49-F238E27FC236}">
                  <a16:creationId xmlns:a16="http://schemas.microsoft.com/office/drawing/2014/main" id="{00000000-0008-0000-0100-00000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955" name="Button 3595" hidden="1">
              <a:extLst>
                <a:ext uri="{63B3BB69-23CF-44E3-9099-C40C66FF867C}">
                  <a14:compatExt spid="_x0000_s18955"/>
                </a:ext>
                <a:ext uri="{FF2B5EF4-FFF2-40B4-BE49-F238E27FC236}">
                  <a16:creationId xmlns:a16="http://schemas.microsoft.com/office/drawing/2014/main" id="{00000000-0008-0000-0100-00000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956" name="Button 3596" hidden="1">
              <a:extLst>
                <a:ext uri="{63B3BB69-23CF-44E3-9099-C40C66FF867C}">
                  <a14:compatExt spid="_x0000_s18956"/>
                </a:ext>
                <a:ext uri="{FF2B5EF4-FFF2-40B4-BE49-F238E27FC236}">
                  <a16:creationId xmlns:a16="http://schemas.microsoft.com/office/drawing/2014/main" id="{00000000-0008-0000-0100-00000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975" name="Button 3615" hidden="1">
              <a:extLst>
                <a:ext uri="{63B3BB69-23CF-44E3-9099-C40C66FF867C}">
                  <a14:compatExt spid="_x0000_s18975"/>
                </a:ext>
                <a:ext uri="{FF2B5EF4-FFF2-40B4-BE49-F238E27FC236}">
                  <a16:creationId xmlns:a16="http://schemas.microsoft.com/office/drawing/2014/main" id="{00000000-0008-0000-0100-00001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976" name="Button 3616" hidden="1">
              <a:extLst>
                <a:ext uri="{63B3BB69-23CF-44E3-9099-C40C66FF867C}">
                  <a14:compatExt spid="_x0000_s18976"/>
                </a:ext>
                <a:ext uri="{FF2B5EF4-FFF2-40B4-BE49-F238E27FC236}">
                  <a16:creationId xmlns:a16="http://schemas.microsoft.com/office/drawing/2014/main" id="{00000000-0008-0000-0100-00002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977" name="Button 3617" hidden="1">
              <a:extLst>
                <a:ext uri="{63B3BB69-23CF-44E3-9099-C40C66FF867C}">
                  <a14:compatExt spid="_x0000_s18977"/>
                </a:ext>
                <a:ext uri="{FF2B5EF4-FFF2-40B4-BE49-F238E27FC236}">
                  <a16:creationId xmlns:a16="http://schemas.microsoft.com/office/drawing/2014/main" id="{00000000-0008-0000-0100-00002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9068" name="Button 3708" hidden="1">
              <a:extLst>
                <a:ext uri="{63B3BB69-23CF-44E3-9099-C40C66FF867C}">
                  <a14:compatExt spid="_x0000_s19068"/>
                </a:ext>
                <a:ext uri="{FF2B5EF4-FFF2-40B4-BE49-F238E27FC236}">
                  <a16:creationId xmlns:a16="http://schemas.microsoft.com/office/drawing/2014/main" id="{00000000-0008-0000-0100-00007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9069" name="Button 3709" hidden="1">
              <a:extLst>
                <a:ext uri="{63B3BB69-23CF-44E3-9099-C40C66FF867C}">
                  <a14:compatExt spid="_x0000_s19069"/>
                </a:ext>
                <a:ext uri="{FF2B5EF4-FFF2-40B4-BE49-F238E27FC236}">
                  <a16:creationId xmlns:a16="http://schemas.microsoft.com/office/drawing/2014/main" id="{00000000-0008-0000-0100-00007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9119" name="Button 3759" hidden="1">
              <a:extLst>
                <a:ext uri="{63B3BB69-23CF-44E3-9099-C40C66FF867C}">
                  <a14:compatExt spid="_x0000_s19119"/>
                </a:ext>
                <a:ext uri="{FF2B5EF4-FFF2-40B4-BE49-F238E27FC236}">
                  <a16:creationId xmlns:a16="http://schemas.microsoft.com/office/drawing/2014/main" id="{00000000-0008-0000-0100-0000A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9120" name="Button 3760" hidden="1">
              <a:extLst>
                <a:ext uri="{63B3BB69-23CF-44E3-9099-C40C66FF867C}">
                  <a14:compatExt spid="_x0000_s19120"/>
                </a:ext>
                <a:ext uri="{FF2B5EF4-FFF2-40B4-BE49-F238E27FC236}">
                  <a16:creationId xmlns:a16="http://schemas.microsoft.com/office/drawing/2014/main" id="{00000000-0008-0000-0100-0000B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9121" name="Button 3761" hidden="1">
              <a:extLst>
                <a:ext uri="{63B3BB69-23CF-44E3-9099-C40C66FF867C}">
                  <a14:compatExt spid="_x0000_s19121"/>
                </a:ext>
                <a:ext uri="{FF2B5EF4-FFF2-40B4-BE49-F238E27FC236}">
                  <a16:creationId xmlns:a16="http://schemas.microsoft.com/office/drawing/2014/main" id="{00000000-0008-0000-0100-0000B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9163" name="Button 3803" hidden="1">
              <a:extLst>
                <a:ext uri="{63B3BB69-23CF-44E3-9099-C40C66FF867C}">
                  <a14:compatExt spid="_x0000_s19163"/>
                </a:ext>
                <a:ext uri="{FF2B5EF4-FFF2-40B4-BE49-F238E27FC236}">
                  <a16:creationId xmlns:a16="http://schemas.microsoft.com/office/drawing/2014/main" id="{00000000-0008-0000-0100-0000D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9254" name="Button 3894" hidden="1">
              <a:extLst>
                <a:ext uri="{63B3BB69-23CF-44E3-9099-C40C66FF867C}">
                  <a14:compatExt spid="_x0000_s19254"/>
                </a:ext>
                <a:ext uri="{FF2B5EF4-FFF2-40B4-BE49-F238E27FC236}">
                  <a16:creationId xmlns:a16="http://schemas.microsoft.com/office/drawing/2014/main" id="{00000000-0008-0000-0100-00003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9255" name="Button 3895" hidden="1">
              <a:extLst>
                <a:ext uri="{63B3BB69-23CF-44E3-9099-C40C66FF867C}">
                  <a14:compatExt spid="_x0000_s19255"/>
                </a:ext>
                <a:ext uri="{FF2B5EF4-FFF2-40B4-BE49-F238E27FC236}">
                  <a16:creationId xmlns:a16="http://schemas.microsoft.com/office/drawing/2014/main" id="{00000000-0008-0000-0100-00003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9305" name="Button 3945" hidden="1">
              <a:extLst>
                <a:ext uri="{63B3BB69-23CF-44E3-9099-C40C66FF867C}">
                  <a14:compatExt spid="_x0000_s19305"/>
                </a:ext>
                <a:ext uri="{FF2B5EF4-FFF2-40B4-BE49-F238E27FC236}">
                  <a16:creationId xmlns:a16="http://schemas.microsoft.com/office/drawing/2014/main" id="{00000000-0008-0000-0100-00006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19306" name="Button 3946" hidden="1">
              <a:extLst>
                <a:ext uri="{63B3BB69-23CF-44E3-9099-C40C66FF867C}">
                  <a14:compatExt spid="_x0000_s19306"/>
                </a:ext>
                <a:ext uri="{FF2B5EF4-FFF2-40B4-BE49-F238E27FC236}">
                  <a16:creationId xmlns:a16="http://schemas.microsoft.com/office/drawing/2014/main" id="{00000000-0008-0000-0100-00006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9326" name="Button 3966" hidden="1">
              <a:extLst>
                <a:ext uri="{63B3BB69-23CF-44E3-9099-C40C66FF867C}">
                  <a14:compatExt spid="_x0000_s19326"/>
                </a:ext>
                <a:ext uri="{FF2B5EF4-FFF2-40B4-BE49-F238E27FC236}">
                  <a16:creationId xmlns:a16="http://schemas.microsoft.com/office/drawing/2014/main" id="{00000000-0008-0000-0100-00007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9327" name="Button 3967" hidden="1">
              <a:extLst>
                <a:ext uri="{63B3BB69-23CF-44E3-9099-C40C66FF867C}">
                  <a14:compatExt spid="_x0000_s19327"/>
                </a:ext>
                <a:ext uri="{FF2B5EF4-FFF2-40B4-BE49-F238E27FC236}">
                  <a16:creationId xmlns:a16="http://schemas.microsoft.com/office/drawing/2014/main" id="{00000000-0008-0000-0100-00007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9328" name="Button 3968" hidden="1">
              <a:extLst>
                <a:ext uri="{63B3BB69-23CF-44E3-9099-C40C66FF867C}">
                  <a14:compatExt spid="_x0000_s19328"/>
                </a:ext>
                <a:ext uri="{FF2B5EF4-FFF2-40B4-BE49-F238E27FC236}">
                  <a16:creationId xmlns:a16="http://schemas.microsoft.com/office/drawing/2014/main" id="{00000000-0008-0000-0100-00008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9349" name="Button 3989" hidden="1">
              <a:extLst>
                <a:ext uri="{63B3BB69-23CF-44E3-9099-C40C66FF867C}">
                  <a14:compatExt spid="_x0000_s19349"/>
                </a:ext>
                <a:ext uri="{FF2B5EF4-FFF2-40B4-BE49-F238E27FC236}">
                  <a16:creationId xmlns:a16="http://schemas.microsoft.com/office/drawing/2014/main" id="{00000000-0008-0000-0100-00009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9369" name="Button 4009" hidden="1">
              <a:extLst>
                <a:ext uri="{63B3BB69-23CF-44E3-9099-C40C66FF867C}">
                  <a14:compatExt spid="_x0000_s19369"/>
                </a:ext>
                <a:ext uri="{FF2B5EF4-FFF2-40B4-BE49-F238E27FC236}">
                  <a16:creationId xmlns:a16="http://schemas.microsoft.com/office/drawing/2014/main" id="{00000000-0008-0000-0100-0000A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9390" name="Button 4030" hidden="1">
              <a:extLst>
                <a:ext uri="{63B3BB69-23CF-44E3-9099-C40C66FF867C}">
                  <a14:compatExt spid="_x0000_s19390"/>
                </a:ext>
                <a:ext uri="{FF2B5EF4-FFF2-40B4-BE49-F238E27FC236}">
                  <a16:creationId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9413" name="Button 4053" hidden="1">
              <a:extLst>
                <a:ext uri="{63B3BB69-23CF-44E3-9099-C40C66FF867C}">
                  <a14:compatExt spid="_x0000_s19413"/>
                </a:ext>
                <a:ext uri="{FF2B5EF4-FFF2-40B4-BE49-F238E27FC236}">
                  <a16:creationId xmlns:a16="http://schemas.microsoft.com/office/drawing/2014/main" id="{00000000-0008-0000-0100-0000D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9433" name="Button 4073" hidden="1">
              <a:extLst>
                <a:ext uri="{63B3BB69-23CF-44E3-9099-C40C66FF867C}">
                  <a14:compatExt spid="_x0000_s19433"/>
                </a:ext>
                <a:ext uri="{FF2B5EF4-FFF2-40B4-BE49-F238E27FC236}">
                  <a16:creationId xmlns:a16="http://schemas.microsoft.com/office/drawing/2014/main" id="{00000000-0008-0000-0100-0000E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434" name="Button 4074" hidden="1">
              <a:extLst>
                <a:ext uri="{63B3BB69-23CF-44E3-9099-C40C66FF867C}">
                  <a14:compatExt spid="_x0000_s19434"/>
                </a:ext>
                <a:ext uri="{FF2B5EF4-FFF2-40B4-BE49-F238E27FC236}">
                  <a16:creationId xmlns:a16="http://schemas.microsoft.com/office/drawing/2014/main" id="{00000000-0008-0000-0100-0000E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9453" name="Button 4093" hidden="1">
              <a:extLst>
                <a:ext uri="{63B3BB69-23CF-44E3-9099-C40C66FF867C}">
                  <a14:compatExt spid="_x0000_s19453"/>
                </a:ext>
                <a:ext uri="{FF2B5EF4-FFF2-40B4-BE49-F238E27FC236}">
                  <a16:creationId xmlns:a16="http://schemas.microsoft.com/office/drawing/2014/main" id="{00000000-0008-0000-0100-0000F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9454" name="Button 4094" hidden="1">
              <a:extLst>
                <a:ext uri="{63B3BB69-23CF-44E3-9099-C40C66FF867C}">
                  <a14:compatExt spid="_x0000_s19454"/>
                </a:ext>
                <a:ext uri="{FF2B5EF4-FFF2-40B4-BE49-F238E27FC236}">
                  <a16:creationId xmlns:a16="http://schemas.microsoft.com/office/drawing/2014/main" id="{00000000-0008-0000-0100-0000F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474" name="Button 4114" hidden="1">
              <a:extLst>
                <a:ext uri="{63B3BB69-23CF-44E3-9099-C40C66FF867C}">
                  <a14:compatExt spid="_x0000_s19474"/>
                </a:ext>
                <a:ext uri="{FF2B5EF4-FFF2-40B4-BE49-F238E27FC236}">
                  <a16:creationId xmlns:a16="http://schemas.microsoft.com/office/drawing/2014/main" id="{00000000-0008-0000-0100-000012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475" name="Button 4115" hidden="1">
              <a:extLst>
                <a:ext uri="{63B3BB69-23CF-44E3-9099-C40C66FF867C}">
                  <a14:compatExt spid="_x0000_s19475"/>
                </a:ext>
                <a:ext uri="{FF2B5EF4-FFF2-40B4-BE49-F238E27FC236}">
                  <a16:creationId xmlns:a16="http://schemas.microsoft.com/office/drawing/2014/main" id="{00000000-0008-0000-0100-00001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9476" name="Button 4116" hidden="1">
              <a:extLst>
                <a:ext uri="{63B3BB69-23CF-44E3-9099-C40C66FF867C}">
                  <a14:compatExt spid="_x0000_s19476"/>
                </a:ext>
                <a:ext uri="{FF2B5EF4-FFF2-40B4-BE49-F238E27FC236}">
                  <a16:creationId xmlns:a16="http://schemas.microsoft.com/office/drawing/2014/main" id="{00000000-0008-0000-0100-000014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9504" name="Button 4144" hidden="1">
              <a:extLst>
                <a:ext uri="{63B3BB69-23CF-44E3-9099-C40C66FF867C}">
                  <a14:compatExt spid="_x0000_s19504"/>
                </a:ext>
                <a:ext uri="{FF2B5EF4-FFF2-40B4-BE49-F238E27FC236}">
                  <a16:creationId xmlns:a16="http://schemas.microsoft.com/office/drawing/2014/main" id="{00000000-0008-0000-0100-000030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9505" name="Button 4145" hidden="1">
              <a:extLst>
                <a:ext uri="{63B3BB69-23CF-44E3-9099-C40C66FF867C}">
                  <a14:compatExt spid="_x0000_s19505"/>
                </a:ext>
                <a:ext uri="{FF2B5EF4-FFF2-40B4-BE49-F238E27FC236}">
                  <a16:creationId xmlns:a16="http://schemas.microsoft.com/office/drawing/2014/main" id="{00000000-0008-0000-0100-000031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9506" name="Button 4146" hidden="1">
              <a:extLst>
                <a:ext uri="{63B3BB69-23CF-44E3-9099-C40C66FF867C}">
                  <a14:compatExt spid="_x0000_s19506"/>
                </a:ext>
                <a:ext uri="{FF2B5EF4-FFF2-40B4-BE49-F238E27FC236}">
                  <a16:creationId xmlns:a16="http://schemas.microsoft.com/office/drawing/2014/main" id="{00000000-0008-0000-0100-000032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9525" name="Button 4165" hidden="1">
              <a:extLst>
                <a:ext uri="{63B3BB69-23CF-44E3-9099-C40C66FF867C}">
                  <a14:compatExt spid="_x0000_s19525"/>
                </a:ext>
                <a:ext uri="{FF2B5EF4-FFF2-40B4-BE49-F238E27FC236}">
                  <a16:creationId xmlns:a16="http://schemas.microsoft.com/office/drawing/2014/main" id="{00000000-0008-0000-0100-000045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9526" name="Button 4166" hidden="1">
              <a:extLst>
                <a:ext uri="{63B3BB69-23CF-44E3-9099-C40C66FF867C}">
                  <a14:compatExt spid="_x0000_s19526"/>
                </a:ext>
                <a:ext uri="{FF2B5EF4-FFF2-40B4-BE49-F238E27FC236}">
                  <a16:creationId xmlns:a16="http://schemas.microsoft.com/office/drawing/2014/main" id="{00000000-0008-0000-0100-000046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527" name="Button 4167" hidden="1">
              <a:extLst>
                <a:ext uri="{63B3BB69-23CF-44E3-9099-C40C66FF867C}">
                  <a14:compatExt spid="_x0000_s19527"/>
                </a:ext>
                <a:ext uri="{FF2B5EF4-FFF2-40B4-BE49-F238E27FC236}">
                  <a16:creationId xmlns:a16="http://schemas.microsoft.com/office/drawing/2014/main" id="{00000000-0008-0000-0100-000047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9546" name="Button 4186" hidden="1">
              <a:extLst>
                <a:ext uri="{63B3BB69-23CF-44E3-9099-C40C66FF867C}">
                  <a14:compatExt spid="_x0000_s19546"/>
                </a:ext>
                <a:ext uri="{FF2B5EF4-FFF2-40B4-BE49-F238E27FC236}">
                  <a16:creationId xmlns:a16="http://schemas.microsoft.com/office/drawing/2014/main" id="{00000000-0008-0000-0100-00005A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9547" name="Button 4187" hidden="1">
              <a:extLst>
                <a:ext uri="{63B3BB69-23CF-44E3-9099-C40C66FF867C}">
                  <a14:compatExt spid="_x0000_s19547"/>
                </a:ext>
                <a:ext uri="{FF2B5EF4-FFF2-40B4-BE49-F238E27FC236}">
                  <a16:creationId xmlns:a16="http://schemas.microsoft.com/office/drawing/2014/main" id="{00000000-0008-0000-0100-00005B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9548" name="Button 4188" hidden="1">
              <a:extLst>
                <a:ext uri="{63B3BB69-23CF-44E3-9099-C40C66FF867C}">
                  <a14:compatExt spid="_x0000_s19548"/>
                </a:ext>
                <a:ext uri="{FF2B5EF4-FFF2-40B4-BE49-F238E27FC236}">
                  <a16:creationId xmlns:a16="http://schemas.microsoft.com/office/drawing/2014/main" id="{00000000-0008-0000-0100-00005C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9567" name="Button 4207" hidden="1">
              <a:extLst>
                <a:ext uri="{63B3BB69-23CF-44E3-9099-C40C66FF867C}">
                  <a14:compatExt spid="_x0000_s19567"/>
                </a:ext>
                <a:ext uri="{FF2B5EF4-FFF2-40B4-BE49-F238E27FC236}">
                  <a16:creationId xmlns:a16="http://schemas.microsoft.com/office/drawing/2014/main" id="{00000000-0008-0000-0100-00006F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9568" name="Button 4208" hidden="1">
              <a:extLst>
                <a:ext uri="{63B3BB69-23CF-44E3-9099-C40C66FF867C}">
                  <a14:compatExt spid="_x0000_s19568"/>
                </a:ext>
                <a:ext uri="{FF2B5EF4-FFF2-40B4-BE49-F238E27FC236}">
                  <a16:creationId xmlns:a16="http://schemas.microsoft.com/office/drawing/2014/main" id="{00000000-0008-0000-0100-000070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9569" name="Button 4209" hidden="1">
              <a:extLst>
                <a:ext uri="{63B3BB69-23CF-44E3-9099-C40C66FF867C}">
                  <a14:compatExt spid="_x0000_s19569"/>
                </a:ext>
                <a:ext uri="{FF2B5EF4-FFF2-40B4-BE49-F238E27FC236}">
                  <a16:creationId xmlns:a16="http://schemas.microsoft.com/office/drawing/2014/main" id="{00000000-0008-0000-0100-000071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9578" name="Button 4218" hidden="1">
              <a:extLst>
                <a:ext uri="{63B3BB69-23CF-44E3-9099-C40C66FF867C}">
                  <a14:compatExt spid="_x0000_s19578"/>
                </a:ext>
                <a:ext uri="{FF2B5EF4-FFF2-40B4-BE49-F238E27FC236}">
                  <a16:creationId xmlns:a16="http://schemas.microsoft.com/office/drawing/2014/main" id="{00000000-0008-0000-0100-00007A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9579" name="Button 4219" hidden="1">
              <a:extLst>
                <a:ext uri="{63B3BB69-23CF-44E3-9099-C40C66FF867C}">
                  <a14:compatExt spid="_x0000_s19579"/>
                </a:ext>
                <a:ext uri="{FF2B5EF4-FFF2-40B4-BE49-F238E27FC236}">
                  <a16:creationId xmlns:a16="http://schemas.microsoft.com/office/drawing/2014/main" id="{00000000-0008-0000-0100-00007B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9580" name="Button 4220" hidden="1">
              <a:extLst>
                <a:ext uri="{63B3BB69-23CF-44E3-9099-C40C66FF867C}">
                  <a14:compatExt spid="_x0000_s19580"/>
                </a:ext>
                <a:ext uri="{FF2B5EF4-FFF2-40B4-BE49-F238E27FC236}">
                  <a16:creationId xmlns:a16="http://schemas.microsoft.com/office/drawing/2014/main" id="{00000000-0008-0000-0100-00007C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581" name="Button 4221" hidden="1">
              <a:extLst>
                <a:ext uri="{63B3BB69-23CF-44E3-9099-C40C66FF867C}">
                  <a14:compatExt spid="_x0000_s19581"/>
                </a:ext>
                <a:ext uri="{FF2B5EF4-FFF2-40B4-BE49-F238E27FC236}">
                  <a16:creationId xmlns:a16="http://schemas.microsoft.com/office/drawing/2014/main" id="{00000000-0008-0000-0100-00007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582" name="Button 4222" hidden="1">
              <a:extLst>
                <a:ext uri="{63B3BB69-23CF-44E3-9099-C40C66FF867C}">
                  <a14:compatExt spid="_x0000_s19582"/>
                </a:ext>
                <a:ext uri="{FF2B5EF4-FFF2-40B4-BE49-F238E27FC236}">
                  <a16:creationId xmlns:a16="http://schemas.microsoft.com/office/drawing/2014/main" id="{00000000-0008-0000-0100-00007E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9583" name="Button 4223" hidden="1">
              <a:extLst>
                <a:ext uri="{63B3BB69-23CF-44E3-9099-C40C66FF867C}">
                  <a14:compatExt spid="_x0000_s19583"/>
                </a:ext>
                <a:ext uri="{FF2B5EF4-FFF2-40B4-BE49-F238E27FC236}">
                  <a16:creationId xmlns:a16="http://schemas.microsoft.com/office/drawing/2014/main" id="{00000000-0008-0000-0100-00007F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602" name="Button 4242" hidden="1">
              <a:extLst>
                <a:ext uri="{63B3BB69-23CF-44E3-9099-C40C66FF867C}">
                  <a14:compatExt spid="_x0000_s19602"/>
                </a:ext>
                <a:ext uri="{FF2B5EF4-FFF2-40B4-BE49-F238E27FC236}">
                  <a16:creationId xmlns:a16="http://schemas.microsoft.com/office/drawing/2014/main" id="{00000000-0008-0000-0100-000092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603" name="Button 4243" hidden="1">
              <a:extLst>
                <a:ext uri="{63B3BB69-23CF-44E3-9099-C40C66FF867C}">
                  <a14:compatExt spid="_x0000_s19603"/>
                </a:ext>
                <a:ext uri="{FF2B5EF4-FFF2-40B4-BE49-F238E27FC236}">
                  <a16:creationId xmlns:a16="http://schemas.microsoft.com/office/drawing/2014/main" id="{00000000-0008-0000-0100-00009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9604" name="Button 4244" hidden="1">
              <a:extLst>
                <a:ext uri="{63B3BB69-23CF-44E3-9099-C40C66FF867C}">
                  <a14:compatExt spid="_x0000_s19604"/>
                </a:ext>
                <a:ext uri="{FF2B5EF4-FFF2-40B4-BE49-F238E27FC236}">
                  <a16:creationId xmlns:a16="http://schemas.microsoft.com/office/drawing/2014/main" id="{00000000-0008-0000-0100-000094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9623" name="Button 4263" hidden="1">
              <a:extLst>
                <a:ext uri="{63B3BB69-23CF-44E3-9099-C40C66FF867C}">
                  <a14:compatExt spid="_x0000_s19623"/>
                </a:ext>
                <a:ext uri="{FF2B5EF4-FFF2-40B4-BE49-F238E27FC236}">
                  <a16:creationId xmlns:a16="http://schemas.microsoft.com/office/drawing/2014/main" id="{00000000-0008-0000-0100-0000A7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9624" name="Button 4264" hidden="1">
              <a:extLst>
                <a:ext uri="{63B3BB69-23CF-44E3-9099-C40C66FF867C}">
                  <a14:compatExt spid="_x0000_s19624"/>
                </a:ext>
                <a:ext uri="{FF2B5EF4-FFF2-40B4-BE49-F238E27FC236}">
                  <a16:creationId xmlns:a16="http://schemas.microsoft.com/office/drawing/2014/main" id="{00000000-0008-0000-0100-0000A8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9625" name="Button 4265" hidden="1">
              <a:extLst>
                <a:ext uri="{63B3BB69-23CF-44E3-9099-C40C66FF867C}">
                  <a14:compatExt spid="_x0000_s19625"/>
                </a:ext>
                <a:ext uri="{FF2B5EF4-FFF2-40B4-BE49-F238E27FC236}">
                  <a16:creationId xmlns:a16="http://schemas.microsoft.com/office/drawing/2014/main" id="{00000000-0008-0000-0100-0000A9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9644" name="Button 4284" hidden="1">
              <a:extLst>
                <a:ext uri="{63B3BB69-23CF-44E3-9099-C40C66FF867C}">
                  <a14:compatExt spid="_x0000_s19644"/>
                </a:ext>
                <a:ext uri="{FF2B5EF4-FFF2-40B4-BE49-F238E27FC236}">
                  <a16:creationId xmlns:a16="http://schemas.microsoft.com/office/drawing/2014/main" id="{00000000-0008-0000-0100-0000BC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9645" name="Button 4285" hidden="1">
              <a:extLst>
                <a:ext uri="{63B3BB69-23CF-44E3-9099-C40C66FF867C}">
                  <a14:compatExt spid="_x0000_s19645"/>
                </a:ext>
                <a:ext uri="{FF2B5EF4-FFF2-40B4-BE49-F238E27FC236}">
                  <a16:creationId xmlns:a16="http://schemas.microsoft.com/office/drawing/2014/main" id="{00000000-0008-0000-0100-0000B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9646" name="Button 4286" hidden="1">
              <a:extLst>
                <a:ext uri="{63B3BB69-23CF-44E3-9099-C40C66FF867C}">
                  <a14:compatExt spid="_x0000_s19646"/>
                </a:ext>
                <a:ext uri="{FF2B5EF4-FFF2-40B4-BE49-F238E27FC236}">
                  <a16:creationId xmlns:a16="http://schemas.microsoft.com/office/drawing/2014/main" id="{00000000-0008-0000-0100-0000BE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9718" name="Button 4358" hidden="1">
              <a:extLst>
                <a:ext uri="{63B3BB69-23CF-44E3-9099-C40C66FF867C}">
                  <a14:compatExt spid="_x0000_s19718"/>
                </a:ext>
                <a:ext uri="{FF2B5EF4-FFF2-40B4-BE49-F238E27FC236}">
                  <a16:creationId xmlns:a16="http://schemas.microsoft.com/office/drawing/2014/main" id="{00000000-0008-0000-0100-000006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9719" name="Button 4359" hidden="1">
              <a:extLst>
                <a:ext uri="{63B3BB69-23CF-44E3-9099-C40C66FF867C}">
                  <a14:compatExt spid="_x0000_s19719"/>
                </a:ext>
                <a:ext uri="{FF2B5EF4-FFF2-40B4-BE49-F238E27FC236}">
                  <a16:creationId xmlns:a16="http://schemas.microsoft.com/office/drawing/2014/main" id="{00000000-0008-0000-0100-000007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9720" name="Button 4360" hidden="1">
              <a:extLst>
                <a:ext uri="{63B3BB69-23CF-44E3-9099-C40C66FF867C}">
                  <a14:compatExt spid="_x0000_s19720"/>
                </a:ext>
                <a:ext uri="{FF2B5EF4-FFF2-40B4-BE49-F238E27FC236}">
                  <a16:creationId xmlns:a16="http://schemas.microsoft.com/office/drawing/2014/main" id="{00000000-0008-0000-0100-000008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9785" name="Button 4425" hidden="1">
              <a:extLst>
                <a:ext uri="{63B3BB69-23CF-44E3-9099-C40C66FF867C}">
                  <a14:compatExt spid="_x0000_s19785"/>
                </a:ext>
                <a:ext uri="{FF2B5EF4-FFF2-40B4-BE49-F238E27FC236}">
                  <a16:creationId xmlns:a16="http://schemas.microsoft.com/office/drawing/2014/main" id="{00000000-0008-0000-0100-000049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9786" name="Button 4426" hidden="1">
              <a:extLst>
                <a:ext uri="{63B3BB69-23CF-44E3-9099-C40C66FF867C}">
                  <a14:compatExt spid="_x0000_s19786"/>
                </a:ext>
                <a:ext uri="{FF2B5EF4-FFF2-40B4-BE49-F238E27FC236}">
                  <a16:creationId xmlns:a16="http://schemas.microsoft.com/office/drawing/2014/main" id="{00000000-0008-0000-0100-00004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9787" name="Button 4427" hidden="1">
              <a:extLst>
                <a:ext uri="{63B3BB69-23CF-44E3-9099-C40C66FF867C}">
                  <a14:compatExt spid="_x0000_s19787"/>
                </a:ext>
                <a:ext uri="{FF2B5EF4-FFF2-40B4-BE49-F238E27FC236}">
                  <a16:creationId xmlns:a16="http://schemas.microsoft.com/office/drawing/2014/main" id="{00000000-0008-0000-0100-00004B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9806" name="Button 4446" hidden="1">
              <a:extLst>
                <a:ext uri="{63B3BB69-23CF-44E3-9099-C40C66FF867C}">
                  <a14:compatExt spid="_x0000_s19806"/>
                </a:ext>
                <a:ext uri="{FF2B5EF4-FFF2-40B4-BE49-F238E27FC236}">
                  <a16:creationId xmlns:a16="http://schemas.microsoft.com/office/drawing/2014/main" id="{00000000-0008-0000-0100-00005E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9807" name="Button 4447" hidden="1">
              <a:extLst>
                <a:ext uri="{63B3BB69-23CF-44E3-9099-C40C66FF867C}">
                  <a14:compatExt spid="_x0000_s19807"/>
                </a:ext>
                <a:ext uri="{FF2B5EF4-FFF2-40B4-BE49-F238E27FC236}">
                  <a16:creationId xmlns:a16="http://schemas.microsoft.com/office/drawing/2014/main" id="{00000000-0008-0000-0100-00005F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808" name="Button 4448" hidden="1">
              <a:extLst>
                <a:ext uri="{63B3BB69-23CF-44E3-9099-C40C66FF867C}">
                  <a14:compatExt spid="_x0000_s19808"/>
                </a:ext>
                <a:ext uri="{FF2B5EF4-FFF2-40B4-BE49-F238E27FC236}">
                  <a16:creationId xmlns:a16="http://schemas.microsoft.com/office/drawing/2014/main" id="{00000000-0008-0000-0100-000060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9827" name="Button 4467" hidden="1">
              <a:extLst>
                <a:ext uri="{63B3BB69-23CF-44E3-9099-C40C66FF867C}">
                  <a14:compatExt spid="_x0000_s19827"/>
                </a:ext>
                <a:ext uri="{FF2B5EF4-FFF2-40B4-BE49-F238E27FC236}">
                  <a16:creationId xmlns:a16="http://schemas.microsoft.com/office/drawing/2014/main" id="{00000000-0008-0000-0100-000073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9828" name="Button 4468" hidden="1">
              <a:extLst>
                <a:ext uri="{63B3BB69-23CF-44E3-9099-C40C66FF867C}">
                  <a14:compatExt spid="_x0000_s19828"/>
                </a:ext>
                <a:ext uri="{FF2B5EF4-FFF2-40B4-BE49-F238E27FC236}">
                  <a16:creationId xmlns:a16="http://schemas.microsoft.com/office/drawing/2014/main" id="{00000000-0008-0000-0100-00007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9829" name="Button 4469" hidden="1">
              <a:extLst>
                <a:ext uri="{63B3BB69-23CF-44E3-9099-C40C66FF867C}">
                  <a14:compatExt spid="_x0000_s19829"/>
                </a:ext>
                <a:ext uri="{FF2B5EF4-FFF2-40B4-BE49-F238E27FC236}">
                  <a16:creationId xmlns:a16="http://schemas.microsoft.com/office/drawing/2014/main" id="{00000000-0008-0000-0100-000075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9848" name="Button 4488" hidden="1">
              <a:extLst>
                <a:ext uri="{63B3BB69-23CF-44E3-9099-C40C66FF867C}">
                  <a14:compatExt spid="_x0000_s19848"/>
                </a:ext>
                <a:ext uri="{FF2B5EF4-FFF2-40B4-BE49-F238E27FC236}">
                  <a16:creationId xmlns:a16="http://schemas.microsoft.com/office/drawing/2014/main" id="{00000000-0008-0000-0100-000088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9849" name="Button 4489" hidden="1">
              <a:extLst>
                <a:ext uri="{63B3BB69-23CF-44E3-9099-C40C66FF867C}">
                  <a14:compatExt spid="_x0000_s19849"/>
                </a:ext>
                <a:ext uri="{FF2B5EF4-FFF2-40B4-BE49-F238E27FC236}">
                  <a16:creationId xmlns:a16="http://schemas.microsoft.com/office/drawing/2014/main" id="{00000000-0008-0000-0100-00008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9850" name="Button 4490" hidden="1">
              <a:extLst>
                <a:ext uri="{63B3BB69-23CF-44E3-9099-C40C66FF867C}">
                  <a14:compatExt spid="_x0000_s19850"/>
                </a:ext>
                <a:ext uri="{FF2B5EF4-FFF2-40B4-BE49-F238E27FC236}">
                  <a16:creationId xmlns:a16="http://schemas.microsoft.com/office/drawing/2014/main" id="{00000000-0008-0000-0100-00008A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9859" name="Button 4499" hidden="1">
              <a:extLst>
                <a:ext uri="{63B3BB69-23CF-44E3-9099-C40C66FF867C}">
                  <a14:compatExt spid="_x0000_s19859"/>
                </a:ext>
                <a:ext uri="{FF2B5EF4-FFF2-40B4-BE49-F238E27FC236}">
                  <a16:creationId xmlns:a16="http://schemas.microsoft.com/office/drawing/2014/main" id="{00000000-0008-0000-0100-000093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9860" name="Button 4500" hidden="1">
              <a:extLst>
                <a:ext uri="{63B3BB69-23CF-44E3-9099-C40C66FF867C}">
                  <a14:compatExt spid="_x0000_s19860"/>
                </a:ext>
                <a:ext uri="{FF2B5EF4-FFF2-40B4-BE49-F238E27FC236}">
                  <a16:creationId xmlns:a16="http://schemas.microsoft.com/office/drawing/2014/main" id="{00000000-0008-0000-0100-00009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9861" name="Button 4501" hidden="1">
              <a:extLst>
                <a:ext uri="{63B3BB69-23CF-44E3-9099-C40C66FF867C}">
                  <a14:compatExt spid="_x0000_s19861"/>
                </a:ext>
                <a:ext uri="{FF2B5EF4-FFF2-40B4-BE49-F238E27FC236}">
                  <a16:creationId xmlns:a16="http://schemas.microsoft.com/office/drawing/2014/main" id="{00000000-0008-0000-0100-000095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19863" name="Button 4503" hidden="1">
              <a:extLst>
                <a:ext uri="{63B3BB69-23CF-44E3-9099-C40C66FF867C}">
                  <a14:compatExt spid="_x0000_s19863"/>
                </a:ext>
                <a:ext uri="{FF2B5EF4-FFF2-40B4-BE49-F238E27FC236}">
                  <a16:creationId xmlns:a16="http://schemas.microsoft.com/office/drawing/2014/main" id="{00000000-0008-0000-0100-000097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9864" name="Button 4504" hidden="1">
              <a:extLst>
                <a:ext uri="{63B3BB69-23CF-44E3-9099-C40C66FF867C}">
                  <a14:compatExt spid="_x0000_s19864"/>
                </a:ext>
                <a:ext uri="{FF2B5EF4-FFF2-40B4-BE49-F238E27FC236}">
                  <a16:creationId xmlns:a16="http://schemas.microsoft.com/office/drawing/2014/main" id="{00000000-0008-0000-0100-000098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9865" name="Button 4505" hidden="1">
              <a:extLst>
                <a:ext uri="{63B3BB69-23CF-44E3-9099-C40C66FF867C}">
                  <a14:compatExt spid="_x0000_s19865"/>
                </a:ext>
                <a:ext uri="{FF2B5EF4-FFF2-40B4-BE49-F238E27FC236}">
                  <a16:creationId xmlns:a16="http://schemas.microsoft.com/office/drawing/2014/main" id="{00000000-0008-0000-0100-00009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19866" name="Button 4506" hidden="1">
              <a:extLst>
                <a:ext uri="{63B3BB69-23CF-44E3-9099-C40C66FF867C}">
                  <a14:compatExt spid="_x0000_s19866"/>
                </a:ext>
                <a:ext uri="{FF2B5EF4-FFF2-40B4-BE49-F238E27FC236}">
                  <a16:creationId xmlns:a16="http://schemas.microsoft.com/office/drawing/2014/main" id="{00000000-0008-0000-0100-00009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19867" name="Button 4507" hidden="1">
              <a:extLst>
                <a:ext uri="{63B3BB69-23CF-44E3-9099-C40C66FF867C}">
                  <a14:compatExt spid="_x0000_s19867"/>
                </a:ext>
                <a:ext uri="{FF2B5EF4-FFF2-40B4-BE49-F238E27FC236}">
                  <a16:creationId xmlns:a16="http://schemas.microsoft.com/office/drawing/2014/main" id="{00000000-0008-0000-0100-00009B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9869" name="Button 4509" hidden="1">
              <a:extLst>
                <a:ext uri="{63B3BB69-23CF-44E3-9099-C40C66FF867C}">
                  <a14:compatExt spid="_x0000_s19869"/>
                </a:ext>
                <a:ext uri="{FF2B5EF4-FFF2-40B4-BE49-F238E27FC236}">
                  <a16:creationId xmlns:a16="http://schemas.microsoft.com/office/drawing/2014/main" id="{00000000-0008-0000-0100-00009D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9870" name="Button 4510" hidden="1">
              <a:extLst>
                <a:ext uri="{63B3BB69-23CF-44E3-9099-C40C66FF867C}">
                  <a14:compatExt spid="_x0000_s19870"/>
                </a:ext>
                <a:ext uri="{FF2B5EF4-FFF2-40B4-BE49-F238E27FC236}">
                  <a16:creationId xmlns:a16="http://schemas.microsoft.com/office/drawing/2014/main" id="{00000000-0008-0000-0100-00009E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9872" name="Button 4512" hidden="1">
              <a:extLst>
                <a:ext uri="{63B3BB69-23CF-44E3-9099-C40C66FF867C}">
                  <a14:compatExt spid="_x0000_s19872"/>
                </a:ext>
                <a:ext uri="{FF2B5EF4-FFF2-40B4-BE49-F238E27FC236}">
                  <a16:creationId xmlns:a16="http://schemas.microsoft.com/office/drawing/2014/main" id="{00000000-0008-0000-0100-0000A0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9873" name="Button 4513" hidden="1">
              <a:extLst>
                <a:ext uri="{63B3BB69-23CF-44E3-9099-C40C66FF867C}">
                  <a14:compatExt spid="_x0000_s19873"/>
                </a:ext>
                <a:ext uri="{FF2B5EF4-FFF2-40B4-BE49-F238E27FC236}">
                  <a16:creationId xmlns:a16="http://schemas.microsoft.com/office/drawing/2014/main" id="{00000000-0008-0000-0100-0000A1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19902" name="Button 4542" hidden="1">
              <a:extLst>
                <a:ext uri="{63B3BB69-23CF-44E3-9099-C40C66FF867C}">
                  <a14:compatExt spid="_x0000_s19902"/>
                </a:ext>
                <a:ext uri="{FF2B5EF4-FFF2-40B4-BE49-F238E27FC236}">
                  <a16:creationId xmlns:a16="http://schemas.microsoft.com/office/drawing/2014/main" id="{00000000-0008-0000-0100-0000BE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19903" name="Button 4543" hidden="1">
              <a:extLst>
                <a:ext uri="{63B3BB69-23CF-44E3-9099-C40C66FF867C}">
                  <a14:compatExt spid="_x0000_s19903"/>
                </a:ext>
                <a:ext uri="{FF2B5EF4-FFF2-40B4-BE49-F238E27FC236}">
                  <a16:creationId xmlns:a16="http://schemas.microsoft.com/office/drawing/2014/main" id="{00000000-0008-0000-0100-0000BF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19904" name="Button 4544" hidden="1">
              <a:extLst>
                <a:ext uri="{63B3BB69-23CF-44E3-9099-C40C66FF867C}">
                  <a14:compatExt spid="_x0000_s19904"/>
                </a:ext>
                <a:ext uri="{FF2B5EF4-FFF2-40B4-BE49-F238E27FC236}">
                  <a16:creationId xmlns:a16="http://schemas.microsoft.com/office/drawing/2014/main" id="{00000000-0008-0000-0100-0000C0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9923" name="Button 4563" hidden="1">
              <a:extLst>
                <a:ext uri="{63B3BB69-23CF-44E3-9099-C40C66FF867C}">
                  <a14:compatExt spid="_x0000_s19923"/>
                </a:ext>
                <a:ext uri="{FF2B5EF4-FFF2-40B4-BE49-F238E27FC236}">
                  <a16:creationId xmlns:a16="http://schemas.microsoft.com/office/drawing/2014/main" id="{00000000-0008-0000-0100-0000D3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19924" name="Button 4564" hidden="1">
              <a:extLst>
                <a:ext uri="{63B3BB69-23CF-44E3-9099-C40C66FF867C}">
                  <a14:compatExt spid="_x0000_s19924"/>
                </a:ext>
                <a:ext uri="{FF2B5EF4-FFF2-40B4-BE49-F238E27FC236}">
                  <a16:creationId xmlns:a16="http://schemas.microsoft.com/office/drawing/2014/main" id="{00000000-0008-0000-0100-0000D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19925" name="Button 4565" hidden="1">
              <a:extLst>
                <a:ext uri="{63B3BB69-23CF-44E3-9099-C40C66FF867C}">
                  <a14:compatExt spid="_x0000_s19925"/>
                </a:ext>
                <a:ext uri="{FF2B5EF4-FFF2-40B4-BE49-F238E27FC236}">
                  <a16:creationId xmlns:a16="http://schemas.microsoft.com/office/drawing/2014/main" id="{00000000-0008-0000-0100-0000D5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9944" name="Button 4584" hidden="1">
              <a:extLst>
                <a:ext uri="{63B3BB69-23CF-44E3-9099-C40C66FF867C}">
                  <a14:compatExt spid="_x0000_s19944"/>
                </a:ext>
                <a:ext uri="{FF2B5EF4-FFF2-40B4-BE49-F238E27FC236}">
                  <a16:creationId xmlns:a16="http://schemas.microsoft.com/office/drawing/2014/main" id="{00000000-0008-0000-0100-0000E8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19945" name="Button 4585" hidden="1">
              <a:extLst>
                <a:ext uri="{63B3BB69-23CF-44E3-9099-C40C66FF867C}">
                  <a14:compatExt spid="_x0000_s19945"/>
                </a:ext>
                <a:ext uri="{FF2B5EF4-FFF2-40B4-BE49-F238E27FC236}">
                  <a16:creationId xmlns:a16="http://schemas.microsoft.com/office/drawing/2014/main" id="{00000000-0008-0000-0100-0000E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19946" name="Button 4586" hidden="1">
              <a:extLst>
                <a:ext uri="{63B3BB69-23CF-44E3-9099-C40C66FF867C}">
                  <a14:compatExt spid="_x0000_s19946"/>
                </a:ext>
                <a:ext uri="{FF2B5EF4-FFF2-40B4-BE49-F238E27FC236}">
                  <a16:creationId xmlns:a16="http://schemas.microsoft.com/office/drawing/2014/main" id="{00000000-0008-0000-0100-0000EA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9965" name="Button 4605" hidden="1">
              <a:extLst>
                <a:ext uri="{63B3BB69-23CF-44E3-9099-C40C66FF867C}">
                  <a14:compatExt spid="_x0000_s19965"/>
                </a:ext>
                <a:ext uri="{FF2B5EF4-FFF2-40B4-BE49-F238E27FC236}">
                  <a16:creationId xmlns:a16="http://schemas.microsoft.com/office/drawing/2014/main" id="{00000000-0008-0000-0100-0000FD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9966" name="Button 4606" hidden="1">
              <a:extLst>
                <a:ext uri="{63B3BB69-23CF-44E3-9099-C40C66FF867C}">
                  <a14:compatExt spid="_x0000_s19966"/>
                </a:ext>
                <a:ext uri="{FF2B5EF4-FFF2-40B4-BE49-F238E27FC236}">
                  <a16:creationId xmlns:a16="http://schemas.microsoft.com/office/drawing/2014/main" id="{00000000-0008-0000-0100-0000FE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9967" name="Button 4607" hidden="1">
              <a:extLst>
                <a:ext uri="{63B3BB69-23CF-44E3-9099-C40C66FF867C}">
                  <a14:compatExt spid="_x0000_s19967"/>
                </a:ext>
                <a:ext uri="{FF2B5EF4-FFF2-40B4-BE49-F238E27FC236}">
                  <a16:creationId xmlns:a16="http://schemas.microsoft.com/office/drawing/2014/main" id="{00000000-0008-0000-0100-0000FF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9976" name="Button 4616" hidden="1">
              <a:extLst>
                <a:ext uri="{63B3BB69-23CF-44E3-9099-C40C66FF867C}">
                  <a14:compatExt spid="_x0000_s19976"/>
                </a:ext>
                <a:ext uri="{FF2B5EF4-FFF2-40B4-BE49-F238E27FC236}">
                  <a16:creationId xmlns:a16="http://schemas.microsoft.com/office/drawing/2014/main" id="{00000000-0008-0000-0100-000008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9978" name="Button 4618" hidden="1">
              <a:extLst>
                <a:ext uri="{63B3BB69-23CF-44E3-9099-C40C66FF867C}">
                  <a14:compatExt spid="_x0000_s19978"/>
                </a:ext>
                <a:ext uri="{FF2B5EF4-FFF2-40B4-BE49-F238E27FC236}">
                  <a16:creationId xmlns:a16="http://schemas.microsoft.com/office/drawing/2014/main" id="{00000000-0008-0000-0100-00000A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3FB4E9-2620-44A3-8F7E-9D3935EAC193}" name="Table312" displayName="Table312" ref="A126:F128" totalsRowShown="0">
  <autoFilter ref="A126:F128" xr:uid="{39746125-EBCD-4D3F-BE7E-0F51D4A34EF4}"/>
  <tableColumns count="6">
    <tableColumn id="1" xr3:uid="{C2117F91-42CE-430D-9014-83A1C0716C72}" name="CÓDIGO CATÁLOGO"/>
    <tableColumn id="2" xr3:uid="{45393311-14BA-4F7A-A6E0-5AF02A15039A}" name="ARTÍCULO">
      <calculatedColumnFormula>IFERROR(INDEX(UNSPSCDes,MATCH(INDIRECT(ADDRESS(ROW(),COLUMN()-1,4)),UNSPSCCode,0)),"")</calculatedColumnFormula>
    </tableColumn>
    <tableColumn id="3" xr3:uid="{91F0B403-0845-4AE9-8071-976BC098692E}" name="UNIDAD DE MEDIDA"/>
    <tableColumn id="4" xr3:uid="{79B3E4C2-32DB-4405-9B6F-327B2CF8EBD6}" name="CANTIDAD TOTAL ESTIMADA"/>
    <tableColumn id="5" xr3:uid="{4DB09D15-3F33-447D-B0E5-3364FA6F271F}" name="PRECIO UNITARIO ESTIMADO"/>
    <tableColumn id="6" xr3:uid="{13DBE9B1-0C8C-4C35-A1CC-7E7D7FFC8C5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B6AF089-7973-4898-BF1F-0EC608674749}" name="Table3105" displayName="Table3105" ref="A1152:F1153" totalsRowShown="0">
  <autoFilter ref="A1152:F1153" xr:uid="{91E494B9-9FC1-4752-B526-A94F3F6A9DE2}"/>
  <tableColumns count="6">
    <tableColumn id="1" xr3:uid="{41C1D821-97DA-4101-90D1-60421B20FDA8}" name="CÓDIGO CATÁLOGO" dataDxfId="44" dataCellStyle="ArticleBody"/>
    <tableColumn id="2" xr3:uid="{455483A3-7CC6-443D-8610-9F3AC203D087}" name="ARTÍCULO">
      <calculatedColumnFormula>IFERROR(INDEX(UNSPSCDes,MATCH(INDIRECT(ADDRESS(ROW(),COLUMN()-1,4)),UNSPSCCode,0)),"")</calculatedColumnFormula>
    </tableColumn>
    <tableColumn id="3" xr3:uid="{80133AE5-0350-4920-BB85-BA1C54AB5A1D}" name="UNIDAD DE MEDIDA"/>
    <tableColumn id="4" xr3:uid="{76865181-DE1E-4A0E-90ED-98AD96413A85}" name="CANTIDAD TOTAL ESTIMADA"/>
    <tableColumn id="5" xr3:uid="{317B79E3-4E37-4639-9BB9-A0F5DC403E2C}" name="PRECIO UNITARIO ESTIMADO"/>
    <tableColumn id="6" xr3:uid="{58B965BC-E47A-4AD4-BB58-D2647ABAFE79}"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8603696-D31C-4C82-8078-607B1DD2B16C}" name="Table3106" displayName="Table3106" ref="A1163:F1164" totalsRowShown="0">
  <autoFilter ref="A1163:F1164" xr:uid="{B5368FAC-F083-4CAC-AE07-E279E712536D}"/>
  <tableColumns count="6">
    <tableColumn id="1" xr3:uid="{EFBB790B-FF7A-4C75-A307-9A645C4FEBDE}" name="CÓDIGO CATÁLOGO" dataDxfId="43"/>
    <tableColumn id="2" xr3:uid="{0E2F809F-AC02-404E-9930-1ABBB455F8D3}" name="ARTÍCULO">
      <calculatedColumnFormula>IFERROR(INDEX(UNSPSCDes,MATCH(INDIRECT(ADDRESS(ROW(),COLUMN()-1,4)),UNSPSCCode,0)),"")</calculatedColumnFormula>
    </tableColumn>
    <tableColumn id="3" xr3:uid="{5BDC80EB-8A07-4A19-99CB-0BF928300754}" name="UNIDAD DE MEDIDA"/>
    <tableColumn id="4" xr3:uid="{4CAC4663-84EF-4E90-A31C-E737CECE5102}" name="CANTIDAD TOTAL ESTIMADA"/>
    <tableColumn id="5" xr3:uid="{D7B822C0-98D8-4586-818A-F7BC20F36EE4}" name="PRECIO UNITARIO ESTIMADO"/>
    <tableColumn id="6" xr3:uid="{8EAA3DF4-8583-4E14-BC29-05A2D34B9B4D}"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F32108B-9591-4177-8649-24DA685D78C3}" name="Table3107" displayName="Table3107" ref="A1174:F1176" totalsRowShown="0">
  <autoFilter ref="A1174:F1176" xr:uid="{7EB190BA-0F35-4B9B-BB8F-071D85D09296}"/>
  <tableColumns count="6">
    <tableColumn id="1" xr3:uid="{D3DA3A4D-03AE-4EF8-AEC7-7BEA4D5DEB87}" name="CÓDIGO CATÁLOGO" dataDxfId="42"/>
    <tableColumn id="2" xr3:uid="{A7B3F212-57F2-434C-9D64-C78F73E270FA}" name="ARTÍCULO">
      <calculatedColumnFormula>IFERROR(INDEX(UNSPSCDes,MATCH(INDIRECT(ADDRESS(ROW(),COLUMN()-1,4)),UNSPSCCode,0)),"")</calculatedColumnFormula>
    </tableColumn>
    <tableColumn id="3" xr3:uid="{93300D86-6599-4C4C-A494-A7FC3E223C57}" name="UNIDAD DE MEDIDA"/>
    <tableColumn id="4" xr3:uid="{5C431EA2-5601-43C5-ABC7-A918D8C30B3E}" name="CANTIDAD TOTAL ESTIMADA"/>
    <tableColumn id="5" xr3:uid="{4CA5A409-290C-4C3C-846B-E76CFEA2C43C}" name="PRECIO UNITARIO ESTIMADO"/>
    <tableColumn id="6" xr3:uid="{4C4EA0E9-7E46-4261-80F6-6735E7130218}"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3C025B58-DC01-4D78-8B42-502932078464}" name="Table3108" displayName="Table3108" ref="A1186:F1187" totalsRowShown="0">
  <autoFilter ref="A1186:F1187" xr:uid="{39E654B6-ADB2-4C3D-BF35-ACFD811655D2}"/>
  <tableColumns count="6">
    <tableColumn id="1" xr3:uid="{E1A38701-4D5B-436E-AFD5-2C5BEEA5A40B}" name="CÓDIGO CATÁLOGO" dataDxfId="41"/>
    <tableColumn id="2" xr3:uid="{6A1757ED-8440-4680-BE7F-48AE5FE5EA57}" name="ARTÍCULO">
      <calculatedColumnFormula>IFERROR(INDEX(UNSPSCDes,MATCH(INDIRECT(ADDRESS(ROW(),COLUMN()-1,4)),UNSPSCCode,0)),"")</calculatedColumnFormula>
    </tableColumn>
    <tableColumn id="3" xr3:uid="{3B7D7110-F4D7-4949-8D19-83C8E68CBE34}" name="UNIDAD DE MEDIDA"/>
    <tableColumn id="4" xr3:uid="{EAC28082-0F19-423E-9BAB-0D2D49F40B53}" name="CANTIDAD TOTAL ESTIMADA"/>
    <tableColumn id="5" xr3:uid="{CABF7EEA-E387-4551-9152-3161378D68AE}" name="PRECIO UNITARIO ESTIMADO"/>
    <tableColumn id="6" xr3:uid="{7755AFCD-9CE0-42E3-BB8D-6C9C8328F5D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C3BA12A-BC1B-43EF-8255-0CA55E05C2A7}" name="Table3109" displayName="Table3109" ref="A1197:F1198" totalsRowShown="0">
  <autoFilter ref="A1197:F1198" xr:uid="{8C28C8A8-D528-459A-A7B2-A161D5D4EA40}"/>
  <tableColumns count="6">
    <tableColumn id="1" xr3:uid="{05636B72-7E03-46E4-8ED1-AF0B0C7A779D}" name="CÓDIGO CATÁLOGO" dataDxfId="40"/>
    <tableColumn id="2" xr3:uid="{B0BF4B4A-A543-4301-A697-D95B065C269B}" name="ARTÍCULO">
      <calculatedColumnFormula>IFERROR(INDEX(UNSPSCDes,MATCH(INDIRECT(ADDRESS(ROW(),COLUMN()-1,4)),UNSPSCCode,0)),"")</calculatedColumnFormula>
    </tableColumn>
    <tableColumn id="3" xr3:uid="{5E14659C-C591-4C2B-B44B-034B50D398F2}" name="UNIDAD DE MEDIDA"/>
    <tableColumn id="4" xr3:uid="{785BB034-AF83-4FBC-9729-6CFA29AC5591}" name="CANTIDAD TOTAL ESTIMADA"/>
    <tableColumn id="5" xr3:uid="{5270B6F1-9AA7-4582-B11F-2F8466064A71}" name="PRECIO UNITARIO ESTIMADO"/>
    <tableColumn id="6" xr3:uid="{5CBE825B-522A-486C-B6B0-D541417B4A2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EDE1944F-8FB8-434A-B855-8E0E11BEEDD6}" name="Table3110" displayName="Table3110" ref="A1208:F1209" totalsRowShown="0">
  <autoFilter ref="A1208:F1209" xr:uid="{D9BB7B91-3AC0-4077-810D-DDDF36009817}"/>
  <tableColumns count="6">
    <tableColumn id="1" xr3:uid="{778FB95E-EA91-400D-A8AA-CEBCF6DBC7A4}" name="CÓDIGO CATÁLOGO" dataDxfId="39"/>
    <tableColumn id="2" xr3:uid="{966601BC-3DEE-4303-815F-90AF431F0875}" name="ARTÍCULO">
      <calculatedColumnFormula>IFERROR(INDEX(UNSPSCDes,MATCH(INDIRECT(ADDRESS(ROW(),COLUMN()-1,4)),UNSPSCCode,0)),"")</calculatedColumnFormula>
    </tableColumn>
    <tableColumn id="3" xr3:uid="{E9A24837-1B9B-4432-AC4B-5F5E267FAC08}" name="UNIDAD DE MEDIDA"/>
    <tableColumn id="4" xr3:uid="{FECA5939-33C8-4F56-9E75-246625AC0EE4}" name="CANTIDAD TOTAL ESTIMADA"/>
    <tableColumn id="5" xr3:uid="{6C21B53C-6E1B-4DDB-80BF-8B9A2EC661CA}" name="PRECIO UNITARIO ESTIMADO"/>
    <tableColumn id="6" xr3:uid="{8D629E5B-810D-4168-AD71-5933B9E72559}"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47BCCD92-037B-42B3-824F-6CCB4F798030}" name="Table3111" displayName="Table3111" ref="A1219:F1221" totalsRowShown="0">
  <autoFilter ref="A1219:F1221" xr:uid="{048D8E2E-3FD9-4C4A-B0FA-910BB15CF325}"/>
  <tableColumns count="6">
    <tableColumn id="1" xr3:uid="{1C04065B-580D-48FB-ADE2-5938A709E204}" name="CÓDIGO CATÁLOGO"/>
    <tableColumn id="2" xr3:uid="{EEFC4B6E-ABE7-491F-8EBB-292483CA4C08}" name="ARTÍCULO">
      <calculatedColumnFormula>IFERROR(INDEX(UNSPSCDes,MATCH(INDIRECT(ADDRESS(ROW(),COLUMN()-1,4)),UNSPSCCode,0)),"")</calculatedColumnFormula>
    </tableColumn>
    <tableColumn id="3" xr3:uid="{3FA63B9A-A474-4F9F-B67B-67BA6031EF43}" name="UNIDAD DE MEDIDA"/>
    <tableColumn id="4" xr3:uid="{3887B8FB-40FC-439B-8F6A-0A51B0310FCB}" name="CANTIDAD TOTAL ESTIMADA"/>
    <tableColumn id="5" xr3:uid="{81822F05-3CEA-4662-B7D4-BC81C163556F}" name="PRECIO UNITARIO ESTIMADO"/>
    <tableColumn id="6" xr3:uid="{C90601C4-B874-4696-8D5D-C59325A7C8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22E3EEF0-8B50-4915-8B02-D777AADEFC92}" name="Table3112" displayName="Table3112" ref="A1231:F1233" totalsRowShown="0">
  <autoFilter ref="A1231:F1233" xr:uid="{9898861B-D068-40FA-9689-5AC0CFD9C8AA}"/>
  <tableColumns count="6">
    <tableColumn id="1" xr3:uid="{42766CC6-AC4B-432E-BB7A-07EED4EE5887}" name="CÓDIGO CATÁLOGO" dataDxfId="38" dataCellStyle="ArticleBody"/>
    <tableColumn id="2" xr3:uid="{FC11C65D-4DE2-4ED0-A05A-768BEEEAAC2A}" name="ARTÍCULO">
      <calculatedColumnFormula>IFERROR(INDEX(UNSPSCDes,MATCH(INDIRECT(ADDRESS(ROW(),COLUMN()-1,4)),UNSPSCCode,0)),"")</calculatedColumnFormula>
    </tableColumn>
    <tableColumn id="3" xr3:uid="{12F54C04-FD52-4CD3-8BA0-24CC6B77C1A8}" name="UNIDAD DE MEDIDA"/>
    <tableColumn id="4" xr3:uid="{B97951BB-8599-4D5E-9B6E-3601616619B6}" name="CANTIDAD TOTAL ESTIMADA"/>
    <tableColumn id="5" xr3:uid="{FF72C535-BF02-4D8F-8777-D4479C962491}" name="PRECIO UNITARIO ESTIMADO"/>
    <tableColumn id="6" xr3:uid="{9A0F4400-FD76-4323-BDD2-12F48F42B942}"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16A157EF-3F8B-4D80-9AA2-42200B150010}" name="Table3113" displayName="Table3113" ref="A1243:F1245" totalsRowShown="0">
  <autoFilter ref="A1243:F1245" xr:uid="{360EF6F4-F01E-43C7-B70B-6B46DD749910}"/>
  <tableColumns count="6">
    <tableColumn id="1" xr3:uid="{4150721C-B74F-4026-A80C-974BC6D36F7C}" name="CÓDIGO CATÁLOGO" dataDxfId="37" dataCellStyle="ArticleBody"/>
    <tableColumn id="2" xr3:uid="{E3D772FF-8CF6-4D59-B3E6-FC87F8AB4ECA}" name="ARTÍCULO">
      <calculatedColumnFormula>IFERROR(INDEX(UNSPSCDes,MATCH(INDIRECT(ADDRESS(ROW(),COLUMN()-1,4)),UNSPSCCode,0)),"")</calculatedColumnFormula>
    </tableColumn>
    <tableColumn id="3" xr3:uid="{4D81C692-0FC5-4629-B85A-261EDFC3F75A}" name="UNIDAD DE MEDIDA"/>
    <tableColumn id="4" xr3:uid="{8CCBC1DA-B3AE-4D31-9671-37A242543F6C}" name="CANTIDAD TOTAL ESTIMADA"/>
    <tableColumn id="5" xr3:uid="{F8DF3DF9-83D7-43C8-A45B-37095E5E113C}" name="PRECIO UNITARIO ESTIMADO"/>
    <tableColumn id="6" xr3:uid="{5858DF2C-7989-452F-A136-F93A8FBDF4A4}"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CAC7CF9-DB7D-477A-AF7B-2B151FB7E073}" name="Table3114" displayName="Table3114" ref="A1255:F1257" totalsRowShown="0">
  <autoFilter ref="A1255:F1257" xr:uid="{18939EEA-3550-48FF-98DB-76FCF4FEE674}"/>
  <tableColumns count="6">
    <tableColumn id="1" xr3:uid="{303E9433-023C-41AD-B4F0-44C64D9446E9}" name="CÓDIGO CATÁLOGO" dataDxfId="36" dataCellStyle="ArticleBody"/>
    <tableColumn id="2" xr3:uid="{13EF88E5-7A25-4428-8670-7C20C115A82B}" name="ARTÍCULO">
      <calculatedColumnFormula>IFERROR(INDEX(UNSPSCDes,MATCH(INDIRECT(ADDRESS(ROW(),COLUMN()-1,4)),UNSPSCCode,0)),"")</calculatedColumnFormula>
    </tableColumn>
    <tableColumn id="3" xr3:uid="{4B36543F-8702-4AEE-B8C5-43AADA8B70DA}" name="UNIDAD DE MEDIDA"/>
    <tableColumn id="4" xr3:uid="{F22EE0A1-5458-4F28-B9DC-B526ADB04A72}" name="CANTIDAD TOTAL ESTIMADA"/>
    <tableColumn id="5" xr3:uid="{70C4DC41-0C4C-4EEB-B980-F311324FFE0A}" name="PRECIO UNITARIO ESTIMADO"/>
    <tableColumn id="6" xr3:uid="{C4AC9DE9-BB20-4958-8EB4-806D7E24D98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FF4BF8-8AB1-4192-85C1-C0368A11D68A}" name="Table313" displayName="Table313" ref="A138:F140" totalsRowShown="0">
  <autoFilter ref="A138:F140" xr:uid="{FD9A0989-4E8E-4A10-9053-DEC1ADEC4136}"/>
  <tableColumns count="6">
    <tableColumn id="1" xr3:uid="{E1768916-7ECC-4426-9DBA-1BB8A9E382F4}" name="CÓDIGO CATÁLOGO" dataDxfId="84" dataCellStyle="ArticleBody"/>
    <tableColumn id="2" xr3:uid="{6C1D953F-BE03-4963-BB80-195E21D0C536}" name="ARTÍCULO">
      <calculatedColumnFormula>IFERROR(INDEX(UNSPSCDes,MATCH(INDIRECT(ADDRESS(ROW(),COLUMN()-1,4)),UNSPSCCode,0)),"")</calculatedColumnFormula>
    </tableColumn>
    <tableColumn id="3" xr3:uid="{396E0DE2-DE59-48E5-BD4F-85805BAFCAA8}" name="UNIDAD DE MEDIDA"/>
    <tableColumn id="4" xr3:uid="{DA1E44B5-0D82-43C4-8D85-2971673CF7E0}" name="CANTIDAD TOTAL ESTIMADA"/>
    <tableColumn id="5" xr3:uid="{8A419340-7CC9-4C0A-9D55-A5898160FF77}" name="PRECIO UNITARIO ESTIMADO"/>
    <tableColumn id="6" xr3:uid="{11B42B35-2B03-48A7-9EEC-A9D852A54BC1}"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DBE5E835-DF60-4F13-B6EE-8160A9F74726}" name="Table3115" displayName="Table3115" ref="A1267:F1268" totalsRowShown="0">
  <autoFilter ref="A1267:F1268" xr:uid="{CF780222-0610-48B5-8718-E02330790FC9}"/>
  <tableColumns count="6">
    <tableColumn id="1" xr3:uid="{F235E3B2-4BF0-4178-BFB2-EADCBF891111}" name="CÓDIGO CATÁLOGO" dataDxfId="35" dataCellStyle="ArticleBody"/>
    <tableColumn id="2" xr3:uid="{17477914-EBFF-4459-A0C7-467910E0DC67}" name="ARTÍCULO">
      <calculatedColumnFormula>IFERROR(INDEX(UNSPSCDes,MATCH(INDIRECT(ADDRESS(ROW(),COLUMN()-1,4)),UNSPSCCode,0)),"")</calculatedColumnFormula>
    </tableColumn>
    <tableColumn id="3" xr3:uid="{44D6FD8E-21C7-4964-BCB6-F6503042D9F9}" name="UNIDAD DE MEDIDA"/>
    <tableColumn id="4" xr3:uid="{93E66BA8-4B23-4654-9D30-AE08E7D2EFD6}" name="CANTIDAD TOTAL ESTIMADA"/>
    <tableColumn id="5" xr3:uid="{C6937BD7-C263-4FD2-A911-70E6AD0A5D9D}" name="PRECIO UNITARIO ESTIMADO"/>
    <tableColumn id="6" xr3:uid="{935B407B-AAAF-4174-B389-94E7A43CB6A4}"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F2E4358-F919-4306-BE85-578CD3417006}" name="Table3116" displayName="Table3116" ref="A1278:F1279" totalsRowShown="0">
  <autoFilter ref="A1278:F1279" xr:uid="{65582624-765E-493F-B5AF-783F755E2F17}"/>
  <tableColumns count="6">
    <tableColumn id="1" xr3:uid="{ED41CC10-4FE1-446E-A865-243D3DE9C5B4}" name="CÓDIGO CATÁLOGO" dataDxfId="34" dataCellStyle="ArticleBody"/>
    <tableColumn id="2" xr3:uid="{2938DA05-16D7-4EA7-96D9-AAB3AB9882A5}" name="ARTÍCULO">
      <calculatedColumnFormula>IFERROR(INDEX(UNSPSCDes,MATCH(INDIRECT(ADDRESS(ROW(),COLUMN()-1,4)),UNSPSCCode,0)),"")</calculatedColumnFormula>
    </tableColumn>
    <tableColumn id="3" xr3:uid="{E72AE379-3484-4AA9-93AD-0F37A240E5EB}" name="UNIDAD DE MEDIDA"/>
    <tableColumn id="4" xr3:uid="{0EBDB76C-4EC6-469C-82FE-F378D0685172}" name="CANTIDAD TOTAL ESTIMADA"/>
    <tableColumn id="5" xr3:uid="{93C54EB2-6E5E-48D1-81E5-B8260FEB9B30}" name="PRECIO UNITARIO ESTIMADO"/>
    <tableColumn id="6" xr3:uid="{4B490ADD-6F31-4BB7-AF0C-E4009CACA2B3}"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447F992E-EAB9-4CED-8BBB-FD3CDEEFF7EF}" name="Table3117" displayName="Table3117" ref="A1289:F1290" totalsRowShown="0">
  <autoFilter ref="A1289:F1290" xr:uid="{E849374F-637A-4D04-A306-627777230D75}"/>
  <tableColumns count="6">
    <tableColumn id="1" xr3:uid="{F6CC810B-32A9-4599-8690-A631939D94F1}" name="CÓDIGO CATÁLOGO" dataDxfId="33" dataCellStyle="ArticleBody"/>
    <tableColumn id="2" xr3:uid="{F355835C-C475-43BC-A312-82C54CDE77B3}" name="ARTÍCULO">
      <calculatedColumnFormula>IFERROR(INDEX(UNSPSCDes,MATCH(INDIRECT(ADDRESS(ROW(),COLUMN()-1,4)),UNSPSCCode,0)),"")</calculatedColumnFormula>
    </tableColumn>
    <tableColumn id="3" xr3:uid="{BC1EF1A7-F3E1-4025-8AF5-921361601E2D}" name="UNIDAD DE MEDIDA"/>
    <tableColumn id="4" xr3:uid="{1E2A4B11-536B-46CA-B86C-6FC0638B4D79}" name="CANTIDAD TOTAL ESTIMADA"/>
    <tableColumn id="5" xr3:uid="{A8B1F228-CD3D-4308-8B26-09EEA2536C4A}" name="PRECIO UNITARIO ESTIMADO"/>
    <tableColumn id="6" xr3:uid="{6C9AD8A2-19B8-4BA3-BF3D-35802C90D627}"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D7D516B1-66A1-44DF-B907-BA12C8FF69CD}" name="Table3118" displayName="Table3118" ref="A1300:F1301" totalsRowShown="0">
  <autoFilter ref="A1300:F1301" xr:uid="{D630116D-014E-445C-8E4A-1F8D34586172}"/>
  <tableColumns count="6">
    <tableColumn id="1" xr3:uid="{15CCCF04-3BD4-4E6B-84BE-8DBC499A349F}" name="CÓDIGO CATÁLOGO" dataDxfId="32" dataCellStyle="ArticleBody"/>
    <tableColumn id="2" xr3:uid="{0CB1C49E-1CC4-4833-95C8-74F08E0A194B}" name="ARTÍCULO">
      <calculatedColumnFormula>IFERROR(INDEX(UNSPSCDes,MATCH(INDIRECT(ADDRESS(ROW(),COLUMN()-1,4)),UNSPSCCode,0)),"")</calculatedColumnFormula>
    </tableColumn>
    <tableColumn id="3" xr3:uid="{A8D5A4C5-071E-4DCD-AD2B-97C5A4F810C7}" name="UNIDAD DE MEDIDA"/>
    <tableColumn id="4" xr3:uid="{2D1E3038-78BA-4F68-BDC0-67529A20FBBD}" name="CANTIDAD TOTAL ESTIMADA"/>
    <tableColumn id="5" xr3:uid="{E3BAEEC4-BE76-48ED-8278-FEBDB90B5699}" name="PRECIO UNITARIO ESTIMADO"/>
    <tableColumn id="6" xr3:uid="{279EACC4-EBCA-4AE3-8792-B366886CC083}"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CF38CCD-B651-4E34-A932-6EFF1C227831}" name="Table3119" displayName="Table3119" ref="A1311:F1312" totalsRowShown="0">
  <autoFilter ref="A1311:F1312" xr:uid="{A70CFF4F-AE22-4218-81C1-50A3B4988E5F}"/>
  <tableColumns count="6">
    <tableColumn id="1" xr3:uid="{FD121AD4-6467-4BB3-9AD2-B27B3F8086D9}" name="CÓDIGO CATÁLOGO" dataDxfId="31" dataCellStyle="ArticleBody"/>
    <tableColumn id="2" xr3:uid="{C881BA3D-6444-4E1E-8050-3DFA04FAD820}" name="ARTÍCULO">
      <calculatedColumnFormula>IFERROR(INDEX(UNSPSCDes,MATCH(INDIRECT(ADDRESS(ROW(),COLUMN()-1,4)),UNSPSCCode,0)),"")</calculatedColumnFormula>
    </tableColumn>
    <tableColumn id="3" xr3:uid="{9DF284B0-B2BD-416A-987F-B67387C0C26A}" name="UNIDAD DE MEDIDA"/>
    <tableColumn id="4" xr3:uid="{4560FB6A-F6AE-4EB2-BAA8-451F3901E2C6}" name="CANTIDAD TOTAL ESTIMADA"/>
    <tableColumn id="5" xr3:uid="{A78695B8-4FA6-43D3-B259-CCCCEDAD257B}" name="PRECIO UNITARIO ESTIMADO"/>
    <tableColumn id="6" xr3:uid="{9FE14B09-D2D9-4EE5-A893-C5E1502A6F7B}"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688E1602-8EA9-4DAB-9F72-32EE5B3730EB}" name="Table3120" displayName="Table3120" ref="A1322:F1323" totalsRowShown="0">
  <autoFilter ref="A1322:F1323" xr:uid="{E191EF8B-2693-41CE-8E34-23C9FC243F1B}"/>
  <tableColumns count="6">
    <tableColumn id="1" xr3:uid="{4BD5750C-DF42-4E03-A559-2736C6AE8350}" name="CÓDIGO CATÁLOGO" dataDxfId="30" dataCellStyle="ArticleBody"/>
    <tableColumn id="2" xr3:uid="{D6C644C8-B86D-4C14-9018-8ADD4E20113D}" name="ARTÍCULO">
      <calculatedColumnFormula>IFERROR(INDEX(UNSPSCDes,MATCH(INDIRECT(ADDRESS(ROW(),COLUMN()-1,4)),UNSPSCCode,0)),"")</calculatedColumnFormula>
    </tableColumn>
    <tableColumn id="3" xr3:uid="{9BBED1E4-B393-478D-A5EC-3937CA8EB8D2}" name="UNIDAD DE MEDIDA"/>
    <tableColumn id="4" xr3:uid="{999BFA9C-E0DD-4DD2-B1F3-7C740BFE5E20}" name="CANTIDAD TOTAL ESTIMADA"/>
    <tableColumn id="5" xr3:uid="{0843FE9D-5F1E-494E-8C07-D12D61EA5AD3}" name="PRECIO UNITARIO ESTIMADO"/>
    <tableColumn id="6" xr3:uid="{F01DB276-DE67-430D-A533-DE319335CAF5}"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C15DA9F-C90E-4CEC-A481-42707575A0AA}" name="Table3121" displayName="Table3121" ref="A1333:F1334" totalsRowShown="0">
  <autoFilter ref="A1333:F1334" xr:uid="{B0CF6479-8653-43D1-A700-38C1D01BEF18}"/>
  <tableColumns count="6">
    <tableColumn id="1" xr3:uid="{C750A343-0CB2-4F0F-B2C3-45CDEBA5A180}" name="CÓDIGO CATÁLOGO" dataDxfId="29" dataCellStyle="ArticleBody"/>
    <tableColumn id="2" xr3:uid="{6A2B8249-556B-42E1-ABC7-1CEB800BA96F}" name="ARTÍCULO">
      <calculatedColumnFormula>IFERROR(INDEX(UNSPSCDes,MATCH(INDIRECT(ADDRESS(ROW(),COLUMN()-1,4)),UNSPSCCode,0)),"")</calculatedColumnFormula>
    </tableColumn>
    <tableColumn id="3" xr3:uid="{0E615203-B80A-4039-8AD0-DEB60464BF22}" name="UNIDAD DE MEDIDA"/>
    <tableColumn id="4" xr3:uid="{30082291-FA21-48F4-9480-411846372642}" name="CANTIDAD TOTAL ESTIMADA"/>
    <tableColumn id="5" xr3:uid="{CF208935-565F-40CD-AFE4-938241AD1FC6}" name="PRECIO UNITARIO ESTIMADO"/>
    <tableColumn id="6" xr3:uid="{BB86EBFB-0033-4BDE-A8AE-4A12B97453EA}"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CB8AB7F-5F2E-40C1-9732-60991EECD7D5}" name="Table3122" displayName="Table3122" ref="A1344:F1345" totalsRowShown="0">
  <autoFilter ref="A1344:F1345" xr:uid="{97662DD0-5812-4AB4-98D1-4705F6C3DB3A}"/>
  <tableColumns count="6">
    <tableColumn id="1" xr3:uid="{65900C80-CBE1-408F-B73C-5FCD41CEB254}" name="CÓDIGO CATÁLOGO" dataDxfId="28" dataCellStyle="ArticleBody"/>
    <tableColumn id="2" xr3:uid="{8B3A11C2-BBF7-4C5E-8B31-8C215E736CEB}" name="ARTÍCULO">
      <calculatedColumnFormula>IFERROR(INDEX(UNSPSCDes,MATCH(INDIRECT(ADDRESS(ROW(),COLUMN()-1,4)),UNSPSCCode,0)),"")</calculatedColumnFormula>
    </tableColumn>
    <tableColumn id="3" xr3:uid="{A545B818-8ADF-4AE6-B108-8D336D8AE64B}" name="UNIDAD DE MEDIDA"/>
    <tableColumn id="4" xr3:uid="{B0D64B14-4AD4-4DF9-AA3A-B325A60FE041}" name="CANTIDAD TOTAL ESTIMADA"/>
    <tableColumn id="5" xr3:uid="{45739A2B-EED6-4714-9F33-720A9766879D}" name="PRECIO UNITARIO ESTIMADO"/>
    <tableColumn id="6" xr3:uid="{9EE641EE-D8A3-49E2-86B2-A7AF319A8BD4}"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F9ED3175-80AD-4D0D-B197-D108385AD6DD}" name="Table3123" displayName="Table3123" ref="A1355:F1357" totalsRowShown="0">
  <autoFilter ref="A1355:F1357" xr:uid="{CBD8523E-0240-4FA6-B1AE-40EA5D3FDB03}"/>
  <tableColumns count="6">
    <tableColumn id="1" xr3:uid="{34C25180-ADB7-4302-921B-6F09370F127D}" name="CÓDIGO CATÁLOGO"/>
    <tableColumn id="2" xr3:uid="{F9394349-4092-4E19-B2D0-97546CA89D25}" name="ARTÍCULO">
      <calculatedColumnFormula>IFERROR(INDEX(UNSPSCDes,MATCH(INDIRECT(ADDRESS(ROW(),COLUMN()-1,4)),UNSPSCCode,0)),"")</calculatedColumnFormula>
    </tableColumn>
    <tableColumn id="3" xr3:uid="{52ED7651-F108-4EE2-B6F7-7ADD6F141767}" name="UNIDAD DE MEDIDA"/>
    <tableColumn id="4" xr3:uid="{B35997B3-DA3F-4C87-AB05-89F850389816}" name="CANTIDAD TOTAL ESTIMADA"/>
    <tableColumn id="5" xr3:uid="{9D4E68AB-3C94-4C94-9124-3324EFF7D9D4}" name="PRECIO UNITARIO ESTIMADO"/>
    <tableColumn id="6" xr3:uid="{2262E0C8-558F-4143-919E-69569D130DAE}"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F5690493-48F4-462D-ABA5-E443283B38C1}" name="Table3124" displayName="Table3124" ref="A1367:F1368" totalsRowShown="0">
  <autoFilter ref="A1367:F1368" xr:uid="{A0D26D34-1A46-49FC-84FD-4BFF08793B5E}"/>
  <tableColumns count="6">
    <tableColumn id="1" xr3:uid="{9AD37E81-6909-4B78-99D2-D1AE9415D351}" name="CÓDIGO CATÁLOGO" dataDxfId="27" dataCellStyle="ArticleBody"/>
    <tableColumn id="2" xr3:uid="{D1B1D095-79FE-43BA-A22E-E2D5B38A7946}" name="ARTÍCULO">
      <calculatedColumnFormula>IFERROR(INDEX(UNSPSCDes,MATCH(INDIRECT(ADDRESS(ROW(),COLUMN()-1,4)),UNSPSCCode,0)),"")</calculatedColumnFormula>
    </tableColumn>
    <tableColumn id="3" xr3:uid="{F24F6713-F5CD-45B0-B540-1BCEEB36B13D}" name="UNIDAD DE MEDIDA"/>
    <tableColumn id="4" xr3:uid="{A75F12F3-5939-4C8A-90E1-6FA42A4D8B01}" name="CANTIDAD TOTAL ESTIMADA"/>
    <tableColumn id="5" xr3:uid="{FC02A465-4AFB-4608-AC02-9F6672223F0A}" name="PRECIO UNITARIO ESTIMADO"/>
    <tableColumn id="6" xr3:uid="{CB454694-A64F-49A4-9ABE-967694690743}"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839D546-F72A-44F3-9DAB-C5F4CA66B551}" name="Table314" displayName="Table314" ref="A150:F153" totalsRowShown="0">
  <autoFilter ref="A150:F153" xr:uid="{7AECEC9F-C37C-46E5-9D12-89F50893184D}"/>
  <tableColumns count="6">
    <tableColumn id="1" xr3:uid="{CD36B629-CAD1-43ED-8865-3163FA08A8D6}" name="CÓDIGO CATÁLOGO" dataDxfId="83" dataCellStyle="ArticleBody"/>
    <tableColumn id="2" xr3:uid="{F9669BE5-45D0-46AC-8D02-AFE186F725F7}" name="ARTÍCULO">
      <calculatedColumnFormula>IFERROR(INDEX(UNSPSCDes,MATCH(INDIRECT(ADDRESS(ROW(),COLUMN()-1,4)),UNSPSCCode,0)),"")</calculatedColumnFormula>
    </tableColumn>
    <tableColumn id="3" xr3:uid="{8B766486-1319-4554-BC86-942295EDEF50}" name="UNIDAD DE MEDIDA"/>
    <tableColumn id="4" xr3:uid="{48F99099-64BE-4BF0-BCB5-934990A37ACE}" name="CANTIDAD TOTAL ESTIMADA"/>
    <tableColumn id="5" xr3:uid="{0FA08D76-541A-44A0-85D4-79344C5EE742}" name="PRECIO UNITARIO ESTIMADO"/>
    <tableColumn id="6" xr3:uid="{D3FE6F87-72E3-4273-8BCB-D340D1C65499}"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6D099851-7EB0-4C9B-9894-75BF9FB1CC5F}" name="Table3125" displayName="Table3125" ref="A1378:F1379" totalsRowShown="0">
  <autoFilter ref="A1378:F1379" xr:uid="{DA393A19-77D5-402A-BD27-2C9775E1ED76}"/>
  <tableColumns count="6">
    <tableColumn id="1" xr3:uid="{DA6D6B08-240F-42A2-9DCD-26BC147B8EE7}" name="CÓDIGO CATÁLOGO" dataDxfId="26" dataCellStyle="ArticleBody"/>
    <tableColumn id="2" xr3:uid="{FA27DD2E-8A22-47DD-8817-FAE8CB41B1FD}" name="ARTÍCULO">
      <calculatedColumnFormula>IFERROR(INDEX(UNSPSCDes,MATCH(INDIRECT(ADDRESS(ROW(),COLUMN()-1,4)),UNSPSCCode,0)),"")</calculatedColumnFormula>
    </tableColumn>
    <tableColumn id="3" xr3:uid="{C868B101-9A5A-4A4B-9811-D4A28E1FE4CB}" name="UNIDAD DE MEDIDA"/>
    <tableColumn id="4" xr3:uid="{F792FE24-797C-4539-978E-CD9B3E078C49}" name="CANTIDAD TOTAL ESTIMADA"/>
    <tableColumn id="5" xr3:uid="{14C65609-3100-45DB-8642-FB557E5A2077}" name="PRECIO UNITARIO ESTIMADO"/>
    <tableColumn id="6" xr3:uid="{A7EDFDB5-49B9-46AE-9A8F-1B142FFD9B4E}"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55ED53E1-515E-48AB-A126-6F62297E2469}" name="Table3126" displayName="Table3126" ref="A1389:F1390" totalsRowShown="0">
  <autoFilter ref="A1389:F1390" xr:uid="{2BB6C35C-8DD3-4325-803F-21641D43F5F9}"/>
  <tableColumns count="6">
    <tableColumn id="1" xr3:uid="{C0478198-09C5-4CDB-AE7D-0FA0965BFF49}" name="CÓDIGO CATÁLOGO" dataDxfId="25" dataCellStyle="ArticleBody"/>
    <tableColumn id="2" xr3:uid="{46A7B12E-F5E8-4AF2-960B-BE0C151B845A}" name="ARTÍCULO">
      <calculatedColumnFormula>IFERROR(INDEX(UNSPSCDes,MATCH(INDIRECT(ADDRESS(ROW(),COLUMN()-1,4)),UNSPSCCode,0)),"")</calculatedColumnFormula>
    </tableColumn>
    <tableColumn id="3" xr3:uid="{013D357A-F3CC-41D8-A334-BF25B4BE8497}" name="UNIDAD DE MEDIDA"/>
    <tableColumn id="4" xr3:uid="{636B7E89-A3DC-4973-9420-7B71AD2BA46B}" name="CANTIDAD TOTAL ESTIMADA"/>
    <tableColumn id="5" xr3:uid="{55F3F5B6-5C57-4031-821B-60DF416E82F2}" name="PRECIO UNITARIO ESTIMADO"/>
    <tableColumn id="6" xr3:uid="{5CEED7A9-980F-4468-A32E-9DF4B8B5AF33}"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93D45467-E791-45FC-98DF-B5D5DC1F59CC}" name="Table3127" displayName="Table3127" ref="A1400:F1401" totalsRowShown="0">
  <autoFilter ref="A1400:F1401" xr:uid="{0FC2CDA9-B31F-4304-843A-D5EB27DE4DF3}"/>
  <tableColumns count="6">
    <tableColumn id="1" xr3:uid="{F8855F21-1524-451A-9800-B69A1F9693EC}" name="CÓDIGO CATÁLOGO" dataDxfId="24" dataCellStyle="ArticleBody"/>
    <tableColumn id="2" xr3:uid="{CDF176F6-EC23-4499-96FF-CE70180E887C}" name="ARTÍCULO">
      <calculatedColumnFormula>IFERROR(INDEX(UNSPSCDes,MATCH(INDIRECT(ADDRESS(ROW(),COLUMN()-1,4)),UNSPSCCode,0)),"")</calculatedColumnFormula>
    </tableColumn>
    <tableColumn id="3" xr3:uid="{A29703FE-A4CE-4DD0-B812-683A30131E22}" name="UNIDAD DE MEDIDA"/>
    <tableColumn id="4" xr3:uid="{06FD9049-DBFE-49EF-BEAA-C05D427D8AC6}" name="CANTIDAD TOTAL ESTIMADA"/>
    <tableColumn id="5" xr3:uid="{8A5DB9EF-1399-4835-94E7-1A0FF17BEEE9}" name="PRECIO UNITARIO ESTIMADO"/>
    <tableColumn id="6" xr3:uid="{F350D33C-4CCC-46E6-B5A5-0B7E610B5FC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E07553F4-BB0C-4030-8E68-BA5E68FEF7A6}" name="Table3128" displayName="Table3128" ref="A1411:F1412" totalsRowShown="0">
  <autoFilter ref="A1411:F1412" xr:uid="{3FDA4026-DBB9-4495-ADFB-16E9E6AA3247}"/>
  <tableColumns count="6">
    <tableColumn id="1" xr3:uid="{7F3C3AF0-A4CB-42B0-9DBE-49528EF5E5A2}" name="CÓDIGO CATÁLOGO" dataDxfId="23" dataCellStyle="ArticleBody"/>
    <tableColumn id="2" xr3:uid="{2FD9CAE4-C415-4EB0-88E4-EA0CFA8A56CD}" name="ARTÍCULO">
      <calculatedColumnFormula>IFERROR(INDEX(UNSPSCDes,MATCH(INDIRECT(ADDRESS(ROW(),COLUMN()-1,4)),UNSPSCCode,0)),"")</calculatedColumnFormula>
    </tableColumn>
    <tableColumn id="3" xr3:uid="{854113E2-7778-4CC0-AB56-31D248598075}" name="UNIDAD DE MEDIDA"/>
    <tableColumn id="4" xr3:uid="{E6D8CB0B-94E8-405E-BE9A-B7DC0216B25A}" name="CANTIDAD TOTAL ESTIMADA"/>
    <tableColumn id="5" xr3:uid="{42C9831F-618B-440B-8CE6-939C743637F8}" name="PRECIO UNITARIO ESTIMADO"/>
    <tableColumn id="6" xr3:uid="{C015F742-B322-4075-BBD0-FDAA490B313F}"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1E676C1F-1B32-4DA2-8536-1BD597ECE1CF}" name="Table3129" displayName="Table3129" ref="A1422:F1423" totalsRowShown="0">
  <autoFilter ref="A1422:F1423" xr:uid="{7924ED60-251F-4A6B-9C19-B54D5C26AB8A}"/>
  <tableColumns count="6">
    <tableColumn id="1" xr3:uid="{9A231DF0-4B9C-46F0-B181-D2315CCA3490}" name="CÓDIGO CATÁLOGO" dataDxfId="22" dataCellStyle="ArticleBody"/>
    <tableColumn id="2" xr3:uid="{EA3AECBB-0254-4E29-B67A-B12935C52E69}" name="ARTÍCULO">
      <calculatedColumnFormula>IFERROR(INDEX(UNSPSCDes,MATCH(INDIRECT(ADDRESS(ROW(),COLUMN()-1,4)),UNSPSCCode,0)),"")</calculatedColumnFormula>
    </tableColumn>
    <tableColumn id="3" xr3:uid="{5717D16E-7F11-40A0-9E1B-9FC09B55D4AF}" name="UNIDAD DE MEDIDA"/>
    <tableColumn id="4" xr3:uid="{D22DB893-0714-4A97-B74C-B76FFAE6158F}" name="CANTIDAD TOTAL ESTIMADA"/>
    <tableColumn id="5" xr3:uid="{3300DAED-83E3-4929-B59C-C915928883C4}" name="PRECIO UNITARIO ESTIMADO"/>
    <tableColumn id="6" xr3:uid="{3D23B2E4-5E9D-4383-8D8E-FFA0D2EF60CD}"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D7C4B49A-BD34-49D7-88FC-C3717472DA46}" name="Table3130" displayName="Table3130" ref="A1433:F1434" totalsRowShown="0">
  <autoFilter ref="A1433:F1434" xr:uid="{BB743064-72B0-4F71-AF26-A1B784BB3AEF}"/>
  <tableColumns count="6">
    <tableColumn id="1" xr3:uid="{8B67BA72-00D9-4E31-BFF2-A314A0E5D4C4}" name="CÓDIGO CATÁLOGO" dataDxfId="21" dataCellStyle="ArticleBody"/>
    <tableColumn id="2" xr3:uid="{50759B44-A107-49D1-A1F5-B71C65BFC568}" name="ARTÍCULO">
      <calculatedColumnFormula>IFERROR(INDEX(UNSPSCDes,MATCH(INDIRECT(ADDRESS(ROW(),COLUMN()-1,4)),UNSPSCCode,0)),"")</calculatedColumnFormula>
    </tableColumn>
    <tableColumn id="3" xr3:uid="{5A594848-E888-450D-A3C9-55E8895012B3}" name="UNIDAD DE MEDIDA"/>
    <tableColumn id="4" xr3:uid="{500AFA8B-2446-4C07-830F-A51CAC9A45A9}" name="CANTIDAD TOTAL ESTIMADA"/>
    <tableColumn id="5" xr3:uid="{1730CDE2-22CA-41DD-B599-70576782B110}" name="PRECIO UNITARIO ESTIMADO"/>
    <tableColumn id="6" xr3:uid="{2FFB43BA-AEAD-4CC0-A2ED-BDBE4E714535}"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F7162599-F1D3-4D30-9ECA-F1C2FFD5D551}" name="Table3131" displayName="Table3131" ref="A1444:F1445" totalsRowShown="0">
  <autoFilter ref="A1444:F1445" xr:uid="{0710066F-A548-42E6-AE54-6215D2C2588C}"/>
  <tableColumns count="6">
    <tableColumn id="1" xr3:uid="{108A2461-21C8-48D9-A270-457394F58214}" name="CÓDIGO CATÁLOGO" dataDxfId="20" dataCellStyle="ArticleBody"/>
    <tableColumn id="2" xr3:uid="{CB58615D-419E-48D5-AD4B-6636E58B6F8E}" name="ARTÍCULO">
      <calculatedColumnFormula>IFERROR(INDEX(UNSPSCDes,MATCH(INDIRECT(ADDRESS(ROW(),COLUMN()-1,4)),UNSPSCCode,0)),"")</calculatedColumnFormula>
    </tableColumn>
    <tableColumn id="3" xr3:uid="{46FEF847-4E4D-4A85-B090-937B807C8524}" name="UNIDAD DE MEDIDA"/>
    <tableColumn id="4" xr3:uid="{5661EDFB-27F8-47F4-A4DA-B53B67F0C38E}" name="CANTIDAD TOTAL ESTIMADA"/>
    <tableColumn id="5" xr3:uid="{F5A51486-6793-4C5C-8CE2-2815FD41AB1F}" name="PRECIO UNITARIO ESTIMADO"/>
    <tableColumn id="6" xr3:uid="{52B0C870-13C0-408E-98AA-ACF0FC695767}"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5852C56D-26DE-4C1B-99BF-3A7167F1E800}" name="Table3132" displayName="Table3132" ref="A1455:F1456" totalsRowShown="0">
  <autoFilter ref="A1455:F1456" xr:uid="{6CBABEF0-F1E9-4F31-AEA8-4B9743175F9C}"/>
  <tableColumns count="6">
    <tableColumn id="1" xr3:uid="{A666CD7D-8371-40E1-A27D-863C0D241931}" name="CÓDIGO CATÁLOGO" dataDxfId="19" dataCellStyle="ArticleBody"/>
    <tableColumn id="2" xr3:uid="{A5B9828C-F1C4-4167-8CED-24CD693B72E3}" name="ARTÍCULO">
      <calculatedColumnFormula>IFERROR(INDEX(UNSPSCDes,MATCH(INDIRECT(ADDRESS(ROW(),COLUMN()-1,4)),UNSPSCCode,0)),"")</calculatedColumnFormula>
    </tableColumn>
    <tableColumn id="3" xr3:uid="{E6441FD3-0786-4876-ABC9-0A292939ECC7}" name="UNIDAD DE MEDIDA"/>
    <tableColumn id="4" xr3:uid="{547B36C4-EB58-456B-BFDE-9BA7448AE9EA}" name="CANTIDAD TOTAL ESTIMADA"/>
    <tableColumn id="5" xr3:uid="{AD598ED1-A696-4091-9386-AE1D0F435AD0}" name="PRECIO UNITARIO ESTIMADO"/>
    <tableColumn id="6" xr3:uid="{C0D2602D-EC52-4D6E-BCE6-10E4632651BB}"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722FC5E5-962B-43EF-9EDD-CD7D47525387}" name="Table3133" displayName="Table3133" ref="A1466:F1467" totalsRowShown="0">
  <autoFilter ref="A1466:F1467" xr:uid="{C8342E8D-7814-49FF-A317-424C24F51511}"/>
  <tableColumns count="6">
    <tableColumn id="1" xr3:uid="{6D771B6B-9F3F-4690-9594-0703D29FB7D5}" name="CÓDIGO CATÁLOGO" dataDxfId="18" dataCellStyle="ArticleBody"/>
    <tableColumn id="2" xr3:uid="{3E5A1C03-9850-4CA8-A910-A4C55D989BCF}" name="ARTÍCULO">
      <calculatedColumnFormula>IFERROR(INDEX(UNSPSCDes,MATCH(INDIRECT(ADDRESS(ROW(),COLUMN()-1,4)),UNSPSCCode,0)),"")</calculatedColumnFormula>
    </tableColumn>
    <tableColumn id="3" xr3:uid="{C26D00FC-B2A6-4E9A-A7A9-51A52B2C2494}" name="UNIDAD DE MEDIDA"/>
    <tableColumn id="4" xr3:uid="{72F8E1F3-9732-4EE0-91C1-97679B1EEC43}" name="CANTIDAD TOTAL ESTIMADA"/>
    <tableColumn id="5" xr3:uid="{0489611C-49CF-49D5-BB40-E0B66735C94E}" name="PRECIO UNITARIO ESTIMADO"/>
    <tableColumn id="6" xr3:uid="{6AF5B619-1F73-4B63-9C44-81ADA885299A}"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F6CF3DA6-FD7C-4D2C-BBB9-5D8173322351}" name="Table3134" displayName="Table3134" ref="A1477:F1478" totalsRowShown="0">
  <autoFilter ref="A1477:F1478" xr:uid="{B25539F0-8950-4150-87B4-366AFFE1A237}"/>
  <tableColumns count="6">
    <tableColumn id="1" xr3:uid="{C13567E8-8CBF-42C0-B6D1-1BFF142D25F5}" name="CÓDIGO CATÁLOGO" dataDxfId="17" dataCellStyle="ArticleBody"/>
    <tableColumn id="2" xr3:uid="{D9FE8CC5-6E16-4081-9D6D-5DC239CCFC30}" name="ARTÍCULO">
      <calculatedColumnFormula>IFERROR(INDEX(UNSPSCDes,MATCH(INDIRECT(ADDRESS(ROW(),COLUMN()-1,4)),UNSPSCCode,0)),"")</calculatedColumnFormula>
    </tableColumn>
    <tableColumn id="3" xr3:uid="{7F214D45-7D94-4709-B9D5-803ECA2BBF95}" name="UNIDAD DE MEDIDA"/>
    <tableColumn id="4" xr3:uid="{6B73AC5E-7A04-4ABB-AB88-727943F9D831}" name="CANTIDAD TOTAL ESTIMADA"/>
    <tableColumn id="5" xr3:uid="{4616FCBC-F09E-4186-925F-130EF74ACD3D}" name="PRECIO UNITARIO ESTIMADO"/>
    <tableColumn id="6" xr3:uid="{3EE67031-C557-4A07-B69E-CAADEE9B7ADC}"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D3EC4DB-A66E-41F9-AA55-FB78CBC8538F}" name="Table317" displayName="Table317" ref="A163:F166" totalsRowShown="0">
  <autoFilter ref="A163:F166" xr:uid="{BA208324-DE96-4D45-B6B9-E3C53CD01A91}"/>
  <tableColumns count="6">
    <tableColumn id="1" xr3:uid="{6D5C6975-9CB0-4D6D-AAD9-9FCE7A31866A}" name="CÓDIGO CATÁLOGO"/>
    <tableColumn id="2" xr3:uid="{D2DA6025-9E1A-49BE-9E7A-AD33003DD7AA}" name="ARTÍCULO">
      <calculatedColumnFormula>IFERROR(INDEX(UNSPSCDes,MATCH(INDIRECT(ADDRESS(ROW(),COLUMN()-1,4)),UNSPSCCode,0)),"")</calculatedColumnFormula>
    </tableColumn>
    <tableColumn id="3" xr3:uid="{FC268E7F-FCBE-4FCF-A390-E8AA5F7B9DBA}" name="UNIDAD DE MEDIDA"/>
    <tableColumn id="4" xr3:uid="{3CCC02AF-2D69-4ED8-97B5-E9E5329ED950}" name="CANTIDAD TOTAL ESTIMADA"/>
    <tableColumn id="5" xr3:uid="{F99C3EB4-E8C9-48EA-8157-04001BDDCC0A}" name="PRECIO UNITARIO ESTIMADO"/>
    <tableColumn id="6" xr3:uid="{C707A281-0631-4D20-BE78-12813FB4733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E83923D-09F3-4B91-A5E4-D7889A5E60E8}" name="Table3135" displayName="Table3135" ref="A1488:F1489" totalsRowShown="0">
  <autoFilter ref="A1488:F1489" xr:uid="{A015F1B5-7D0D-41FF-9059-404BD37914BE}"/>
  <tableColumns count="6">
    <tableColumn id="1" xr3:uid="{EBCDB4AD-5AFF-46DE-8FCD-7050DE10383B}" name="CÓDIGO CATÁLOGO" dataDxfId="16"/>
    <tableColumn id="2" xr3:uid="{9717723E-4033-4029-BF5C-62F2808FBE96}" name="ARTÍCULO">
      <calculatedColumnFormula>IFERROR(INDEX(UNSPSCDes,MATCH(INDIRECT(ADDRESS(ROW(),COLUMN()-1,4)),UNSPSCCode,0)),"")</calculatedColumnFormula>
    </tableColumn>
    <tableColumn id="3" xr3:uid="{1A153B43-1F9A-45A4-87BA-5D0C76781E54}" name="UNIDAD DE MEDIDA"/>
    <tableColumn id="4" xr3:uid="{9DF1EFB8-B248-4F2B-B5DE-F6AE9A04A936}" name="CANTIDAD TOTAL ESTIMADA"/>
    <tableColumn id="5" xr3:uid="{6A1D42CF-528B-42B7-B6AF-4B98C44EACA1}" name="PRECIO UNITARIO ESTIMADO"/>
    <tableColumn id="6" xr3:uid="{A5C58036-695B-41C1-A1A9-DEF28BD37B2C}"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C01E279-D646-4B69-AC4D-B9ABE0DAF1FE}" name="Table3136" displayName="Table3136" ref="A1499:F1500" totalsRowShown="0">
  <autoFilter ref="A1499:F1500" xr:uid="{21B4E74D-291C-4A17-9689-5CA40644B243}"/>
  <tableColumns count="6">
    <tableColumn id="1" xr3:uid="{098C2003-56B0-430A-BF91-FEB2081A51AA}" name="CÓDIGO CATÁLOGO" dataDxfId="15"/>
    <tableColumn id="2" xr3:uid="{26A7C2A7-05B9-4BBA-B65D-4775B420873F}" name="ARTÍCULO">
      <calculatedColumnFormula>IFERROR(INDEX(UNSPSCDes,MATCH(INDIRECT(ADDRESS(ROW(),COLUMN()-1,4)),UNSPSCCode,0)),"")</calculatedColumnFormula>
    </tableColumn>
    <tableColumn id="3" xr3:uid="{FE5DEFEE-0247-4595-9512-C05A2BC250AA}" name="UNIDAD DE MEDIDA"/>
    <tableColumn id="4" xr3:uid="{DF3663C6-93DA-4C92-97D5-22934507B0CD}" name="CANTIDAD TOTAL ESTIMADA"/>
    <tableColumn id="5" xr3:uid="{7DFCD4E8-B84F-4C8C-B83E-440AE7B73EAD}" name="PRECIO UNITARIO ESTIMADO"/>
    <tableColumn id="6" xr3:uid="{F53391B6-25BF-4671-9F8A-96D44BA2698E}"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75BBDF29-26AC-4A66-9F6E-4C381B7691AE}" name="Table3137" displayName="Table3137" ref="A1510:F1511" totalsRowShown="0">
  <autoFilter ref="A1510:F1511" xr:uid="{C030C23A-CA03-4D31-BDDA-11217A83B392}"/>
  <tableColumns count="6">
    <tableColumn id="1" xr3:uid="{0F1CFB5C-CBCB-4BAF-9F17-E6DCB99D1B6E}" name="CÓDIGO CATÁLOGO" dataDxfId="14" dataCellStyle="ArticleBody"/>
    <tableColumn id="2" xr3:uid="{385A707E-10E8-4DC1-B056-15467EBD297C}" name="ARTÍCULO">
      <calculatedColumnFormula>IFERROR(INDEX(UNSPSCDes,MATCH(INDIRECT(ADDRESS(ROW(),COLUMN()-1,4)),UNSPSCCode,0)),"")</calculatedColumnFormula>
    </tableColumn>
    <tableColumn id="3" xr3:uid="{6973B408-06C2-4F89-BBCF-6A088ED61684}" name="UNIDAD DE MEDIDA"/>
    <tableColumn id="4" xr3:uid="{393A0DF9-4C9F-46C4-86F8-77E1A28BEB66}" name="CANTIDAD TOTAL ESTIMADA"/>
    <tableColumn id="5" xr3:uid="{8C35E326-4EA7-4532-8D21-D069CD59CF6F}" name="PRECIO UNITARIO ESTIMADO"/>
    <tableColumn id="6" xr3:uid="{371AD431-F844-4C56-BF2D-A464B35F32A1}"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1AFEF5FA-C460-4773-A132-65913B583219}" name="Table3138" displayName="Table3138" ref="A1521:F1522" totalsRowShown="0">
  <autoFilter ref="A1521:F1522" xr:uid="{B38EC761-0C2F-476A-BD53-2B2C01C863FE}"/>
  <tableColumns count="6">
    <tableColumn id="1" xr3:uid="{6E764552-424E-48E9-A9C1-3BD8EC6FDD74}" name="CÓDIGO CATÁLOGO" dataDxfId="13" dataCellStyle="ArticleBody"/>
    <tableColumn id="2" xr3:uid="{01436C4E-F66D-4513-96B0-6D0734DD2D1D}" name="ARTÍCULO">
      <calculatedColumnFormula>IFERROR(INDEX(UNSPSCDes,MATCH(INDIRECT(ADDRESS(ROW(),COLUMN()-1,4)),UNSPSCCode,0)),"")</calculatedColumnFormula>
    </tableColumn>
    <tableColumn id="3" xr3:uid="{885C992B-D0C3-4CFD-9455-FEB1EC533767}" name="UNIDAD DE MEDIDA"/>
    <tableColumn id="4" xr3:uid="{B6E4CB15-F581-42F3-8791-3BC7A50932BA}" name="CANTIDAD TOTAL ESTIMADA"/>
    <tableColumn id="5" xr3:uid="{36D5C96A-3750-496B-8BB5-8C507DC8080E}" name="PRECIO UNITARIO ESTIMADO"/>
    <tableColumn id="6" xr3:uid="{DF0EE884-C725-470E-B109-322FDB31D258}"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F0EA64A0-8141-46FF-857C-4057C6FA9EAF}" name="Table3139" displayName="Table3139" ref="A1532:F1533" totalsRowShown="0">
  <autoFilter ref="A1532:F1533" xr:uid="{C8204BD0-F484-49FE-832B-145CC190F881}"/>
  <tableColumns count="6">
    <tableColumn id="1" xr3:uid="{9D64CB64-3029-41CC-A0A0-302AEB9FD604}" name="CÓDIGO CATÁLOGO" dataDxfId="12" dataCellStyle="ArticleBody"/>
    <tableColumn id="2" xr3:uid="{5C54904D-5258-4A61-9D55-7A6D65096940}" name="ARTÍCULO">
      <calculatedColumnFormula>IFERROR(INDEX(UNSPSCDes,MATCH(INDIRECT(ADDRESS(ROW(),COLUMN()-1,4)),UNSPSCCode,0)),"")</calculatedColumnFormula>
    </tableColumn>
    <tableColumn id="3" xr3:uid="{F931F2C0-1E75-4576-A31E-40240BC8937E}" name="UNIDAD DE MEDIDA"/>
    <tableColumn id="4" xr3:uid="{E840BC6C-21A8-4B39-A22A-36BC0E3A3A18}" name="CANTIDAD TOTAL ESTIMADA"/>
    <tableColumn id="5" xr3:uid="{68E4071E-DE7A-49FB-8FA1-8AA084C71798}" name="PRECIO UNITARIO ESTIMADO"/>
    <tableColumn id="6" xr3:uid="{61CF2321-2E33-46F8-845F-CF10694D8A1E}"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22B15E6A-4918-4F33-AC69-25B6A1B5B708}" name="Table3140" displayName="Table3140" ref="A1543:F1544" totalsRowShown="0">
  <autoFilter ref="A1543:F1544" xr:uid="{D9D3B8DC-92A3-4109-BF90-5E0E2ED1C8CC}"/>
  <tableColumns count="6">
    <tableColumn id="1" xr3:uid="{844B19D8-6049-4B0C-8755-F1F58616BD3C}" name="CÓDIGO CATÁLOGO" dataDxfId="11" dataCellStyle="ArticleBody"/>
    <tableColumn id="2" xr3:uid="{5073A07A-2F1A-4089-AE8F-AB31AF62B057}" name="ARTÍCULO">
      <calculatedColumnFormula>IFERROR(INDEX(UNSPSCDes,MATCH(INDIRECT(ADDRESS(ROW(),COLUMN()-1,4)),UNSPSCCode,0)),"")</calculatedColumnFormula>
    </tableColumn>
    <tableColumn id="3" xr3:uid="{87A62D97-BF45-4FB5-AC30-67E8E863DBC1}" name="UNIDAD DE MEDIDA"/>
    <tableColumn id="4" xr3:uid="{62E78363-6F18-4EBF-A2FB-2B968DD4B97E}" name="CANTIDAD TOTAL ESTIMADA"/>
    <tableColumn id="5" xr3:uid="{DE75DC3F-90A5-4FDE-9C65-D550D524B370}" name="PRECIO UNITARIO ESTIMADO"/>
    <tableColumn id="6" xr3:uid="{40F2DE4F-A884-4D0A-8617-060DC42E73E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101C96E-4406-41BB-9541-4BB9242EABF8}" name="Table3141" displayName="Table3141" ref="A1554:F1556" totalsRowShown="0">
  <autoFilter ref="A1554:F1556" xr:uid="{7C656F7D-EA0C-4C6F-AEBE-9A88817D01BA}"/>
  <tableColumns count="6">
    <tableColumn id="1" xr3:uid="{3D342E5D-1D0E-411C-8AED-1A2B246BA41A}" name="CÓDIGO CATÁLOGO"/>
    <tableColumn id="2" xr3:uid="{6DE64F42-3A2E-4D4A-8E9A-96D55D09E712}" name="ARTÍCULO">
      <calculatedColumnFormula>IFERROR(INDEX(UNSPSCDes,MATCH(INDIRECT(ADDRESS(ROW(),COLUMN()-1,4)),UNSPSCCode,0)),"")</calculatedColumnFormula>
    </tableColumn>
    <tableColumn id="3" xr3:uid="{A8D26ECD-9D38-4DFC-8EB9-FF458EF16FAD}" name="UNIDAD DE MEDIDA"/>
    <tableColumn id="4" xr3:uid="{1B5924B8-F47A-482D-B9E2-C31C37737D10}" name="CANTIDAD TOTAL ESTIMADA"/>
    <tableColumn id="5" xr3:uid="{5B7F2E4E-AE9A-4653-B5DE-40AB8A2AB378}" name="PRECIO UNITARIO ESTIMADO"/>
    <tableColumn id="6" xr3:uid="{B529B214-0457-416C-A258-198E3643118E}"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DD034E77-4A83-4C7A-8D5D-8EBEDD394E0D}" name="Table3142" displayName="Table3142" ref="A1566:F1572" totalsRowShown="0">
  <autoFilter ref="A1566:F1572" xr:uid="{4DF1D19E-8B19-41F4-A6A7-C31C9D8FE27C}"/>
  <tableColumns count="6">
    <tableColumn id="1" xr3:uid="{A912E284-3761-4967-954A-68CF6925A0E9}" name="CÓDIGO CATÁLOGO"/>
    <tableColumn id="2" xr3:uid="{1550B2B3-91DE-483F-9860-94D3B7C5EA09}" name="ARTÍCULO">
      <calculatedColumnFormula>IFERROR(INDEX(UNSPSCDes,MATCH(INDIRECT(ADDRESS(ROW(),COLUMN()-1,4)),UNSPSCCode,0)),"")</calculatedColumnFormula>
    </tableColumn>
    <tableColumn id="3" xr3:uid="{9C565D1E-7471-46F0-9A45-2517C41A277E}" name="UNIDAD DE MEDIDA"/>
    <tableColumn id="4" xr3:uid="{DB401727-D3D7-448A-9420-529AF5F65F00}" name="CANTIDAD TOTAL ESTIMADA"/>
    <tableColumn id="5" xr3:uid="{362ECEDE-2D4C-4302-8E99-3A975D512A59}" name="PRECIO UNITARIO ESTIMADO"/>
    <tableColumn id="6" xr3:uid="{152EE7ED-440C-4549-9B09-F2590028AAE3}"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38BE65A3-43B7-4391-870B-3C988DB324DC}" name="Table3143" displayName="Table3143" ref="A1582:F1583" totalsRowShown="0">
  <autoFilter ref="A1582:F1583" xr:uid="{EE33E928-FD2E-4B32-BCC2-00612C76E990}"/>
  <tableColumns count="6">
    <tableColumn id="1" xr3:uid="{8E1E364C-9A5D-4434-BB6D-717AE9F417FC}" name="CÓDIGO CATÁLOGO" dataDxfId="10" dataCellStyle="ArticleBody"/>
    <tableColumn id="2" xr3:uid="{49B984E8-5A75-486C-A63E-DFCED8E15F29}" name="ARTÍCULO">
      <calculatedColumnFormula>IFERROR(INDEX(UNSPSCDes,MATCH(INDIRECT(ADDRESS(ROW(),COLUMN()-1,4)),UNSPSCCode,0)),"")</calculatedColumnFormula>
    </tableColumn>
    <tableColumn id="3" xr3:uid="{8010453D-F74B-4831-90FE-5971FE0EC62C}" name="UNIDAD DE MEDIDA"/>
    <tableColumn id="4" xr3:uid="{1D9F3865-45FB-429B-ADF7-EC01C8B9993E}" name="CANTIDAD TOTAL ESTIMADA"/>
    <tableColumn id="5" xr3:uid="{8D91C848-2162-4831-AC92-5BFE7E94DBEC}" name="PRECIO UNITARIO ESTIMADO"/>
    <tableColumn id="6" xr3:uid="{2AC40755-957D-4733-9DE8-F4800520ECC5}"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A028313-9A3B-4279-AAEA-ECDB54EE07FC}" name="Table3144" displayName="Table3144" ref="A1593:F1594" totalsRowShown="0">
  <autoFilter ref="A1593:F1594" xr:uid="{5FD38D49-3540-4D02-A7A5-9CD18EF992DB}"/>
  <tableColumns count="6">
    <tableColumn id="1" xr3:uid="{58F024F6-D2FA-4F3B-AD38-10833E5C86A0}" name="CÓDIGO CATÁLOGO" dataDxfId="9" dataCellStyle="ArticleBody"/>
    <tableColumn id="2" xr3:uid="{D0B5B477-E0F6-44D8-AB48-4AF3B2AD6CF5}" name="ARTÍCULO">
      <calculatedColumnFormula>IFERROR(INDEX(UNSPSCDes,MATCH(INDIRECT(ADDRESS(ROW(),COLUMN()-1,4)),UNSPSCCode,0)),"")</calculatedColumnFormula>
    </tableColumn>
    <tableColumn id="3" xr3:uid="{7126F490-F637-456C-A336-E45F464A6B6B}" name="UNIDAD DE MEDIDA"/>
    <tableColumn id="4" xr3:uid="{A0D8D0FA-6F96-44AC-9AF7-E56427983D1D}" name="CANTIDAD TOTAL ESTIMADA"/>
    <tableColumn id="5" xr3:uid="{6AF56D08-F29D-4B28-B6FA-051C7D3168AE}" name="PRECIO UNITARIO ESTIMADO"/>
    <tableColumn id="6" xr3:uid="{D2CD1ACA-1915-43A3-A9A4-DA937DA9318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7021D23-F52D-449B-8678-2C098891299F}" name="Table318" displayName="Table318" ref="A176:F179" totalsRowShown="0">
  <autoFilter ref="A176:F179" xr:uid="{CE8B3986-B03C-4B08-82D2-D58049458465}"/>
  <tableColumns count="6">
    <tableColumn id="1" xr3:uid="{406E2B80-A06E-4D4E-982D-BEF803D59CAF}" name="CÓDIGO CATÁLOGO"/>
    <tableColumn id="2" xr3:uid="{30766BAE-FF32-4376-B906-B0A920EE2793}" name="ARTÍCULO">
      <calculatedColumnFormula>IFERROR(INDEX(UNSPSCDes,MATCH(INDIRECT(ADDRESS(ROW(),COLUMN()-1,4)),UNSPSCCode,0)),"")</calculatedColumnFormula>
    </tableColumn>
    <tableColumn id="3" xr3:uid="{46391FB6-8FD3-4A9D-9816-72A9BD4BC06D}" name="UNIDAD DE MEDIDA"/>
    <tableColumn id="4" xr3:uid="{DE5D7D72-6E42-4918-ABFF-5BE85B621771}" name="CANTIDAD TOTAL ESTIMADA"/>
    <tableColumn id="5" xr3:uid="{EF8AD2BD-A2D2-4073-8321-65F63D6F5B2D}" name="PRECIO UNITARIO ESTIMADO"/>
    <tableColumn id="6" xr3:uid="{CDD6E345-92AA-4518-9D7F-9838AC539709}"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3E115A0E-43CD-4E6F-A783-ADCEADEB89AA}" name="Table3145" displayName="Table3145" ref="A1604:F1605" totalsRowShown="0">
  <autoFilter ref="A1604:F1605" xr:uid="{EC2FF8E6-6EDB-44A0-9537-A6E113FD1E79}"/>
  <tableColumns count="6">
    <tableColumn id="1" xr3:uid="{150CBD2E-5491-46DD-ABCE-36CE4024DC39}" name="CÓDIGO CATÁLOGO" dataDxfId="8" dataCellStyle="ArticleBody"/>
    <tableColumn id="2" xr3:uid="{7AAD434D-CFFE-4495-8725-A5CA2C134E30}" name="ARTÍCULO">
      <calculatedColumnFormula>IFERROR(INDEX(UNSPSCDes,MATCH(INDIRECT(ADDRESS(ROW(),COLUMN()-1,4)),UNSPSCCode,0)),"")</calculatedColumnFormula>
    </tableColumn>
    <tableColumn id="3" xr3:uid="{DB25057D-4867-47FF-8BC0-C5DE44CC7675}" name="UNIDAD DE MEDIDA"/>
    <tableColumn id="4" xr3:uid="{507630E3-B575-46AD-8FB3-5E186666E42F}" name="CANTIDAD TOTAL ESTIMADA"/>
    <tableColumn id="5" xr3:uid="{40D2AFFF-D8D6-449C-A7AA-8F03E72D4752}" name="PRECIO UNITARIO ESTIMADO"/>
    <tableColumn id="6" xr3:uid="{335F5138-4D36-4F27-BE07-74EBB8261733}"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6D31ACF7-586F-4EC8-97F5-5F805C6FDDBB}" name="Table3146" displayName="Table3146" ref="A1615:F1616" totalsRowShown="0">
  <autoFilter ref="A1615:F1616" xr:uid="{818B92D3-ADA6-4C0E-AF21-9D935A6D82E3}"/>
  <tableColumns count="6">
    <tableColumn id="1" xr3:uid="{FD87B315-A451-4F51-AF37-955C2E20EEEF}" name="CÓDIGO CATÁLOGO" dataDxfId="7" dataCellStyle="ArticleBody"/>
    <tableColumn id="2" xr3:uid="{65551A46-C977-4411-BE30-ED91C2DF7FCE}" name="ARTÍCULO">
      <calculatedColumnFormula>IFERROR(INDEX(UNSPSCDes,MATCH(INDIRECT(ADDRESS(ROW(),COLUMN()-1,4)),UNSPSCCode,0)),"")</calculatedColumnFormula>
    </tableColumn>
    <tableColumn id="3" xr3:uid="{8C28E648-2268-4553-AFDB-C1112B3DD52B}" name="UNIDAD DE MEDIDA"/>
    <tableColumn id="4" xr3:uid="{8D7537B8-0E1C-4952-A069-E0ACAD4D2EA6}" name="CANTIDAD TOTAL ESTIMADA"/>
    <tableColumn id="5" xr3:uid="{DCC28456-6D9A-488F-896C-10872410C90F}" name="PRECIO UNITARIO ESTIMADO"/>
    <tableColumn id="6" xr3:uid="{1626AB74-121D-4757-B688-532B7BC5A5F2}"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4933989C-23FB-460E-A81C-6BB915A75E3B}" name="Table3147" displayName="Table3147" ref="A1626:F1627" totalsRowShown="0">
  <autoFilter ref="A1626:F1627" xr:uid="{D9A4355A-68A7-422C-9F09-5CD4DB92DD6D}"/>
  <tableColumns count="6">
    <tableColumn id="1" xr3:uid="{841B1404-08C6-4098-930F-A3391493AE2E}" name="CÓDIGO CATÁLOGO" dataDxfId="6" dataCellStyle="ArticleBody"/>
    <tableColumn id="2" xr3:uid="{B9882FD1-C958-4035-A68A-B1A0A9F03276}" name="ARTÍCULO">
      <calculatedColumnFormula>IFERROR(INDEX(UNSPSCDes,MATCH(INDIRECT(ADDRESS(ROW(),COLUMN()-1,4)),UNSPSCCode,0)),"")</calculatedColumnFormula>
    </tableColumn>
    <tableColumn id="3" xr3:uid="{F020B341-51D6-4883-95A7-830F4A8CDE91}" name="UNIDAD DE MEDIDA"/>
    <tableColumn id="4" xr3:uid="{D949E447-9125-4E23-BD19-4D2DA191D748}" name="CANTIDAD TOTAL ESTIMADA"/>
    <tableColumn id="5" xr3:uid="{6668AD33-A048-448B-A307-7D821EED51C2}" name="PRECIO UNITARIO ESTIMADO"/>
    <tableColumn id="6" xr3:uid="{D316D178-5A96-498B-96BA-2A98640CC379}"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2283EDFB-B6AE-4D8C-A08B-6E91A8075100}" name="Table3150" displayName="Table3150" ref="A1637:F1638" totalsRowShown="0">
  <autoFilter ref="A1637:F1638" xr:uid="{5C1AAD8A-C71D-4A79-9839-EF59C917AF67}"/>
  <tableColumns count="6">
    <tableColumn id="1" xr3:uid="{9F411713-4145-41C3-A841-3B754E88A90E}" name="CÓDIGO CATÁLOGO" dataDxfId="5"/>
    <tableColumn id="2" xr3:uid="{15657BF0-1CA7-4B64-A758-AA1261F0F29B}" name="ARTÍCULO">
      <calculatedColumnFormula>IFERROR(INDEX(UNSPSCDes,MATCH(INDIRECT(ADDRESS(ROW(),COLUMN()-1,4)),UNSPSCCode,0)),"")</calculatedColumnFormula>
    </tableColumn>
    <tableColumn id="3" xr3:uid="{D3554903-36E4-4A0E-8C45-DD54DF20134F}" name="UNIDAD DE MEDIDA"/>
    <tableColumn id="4" xr3:uid="{8DBCF756-9C5C-4893-A5D4-D2FA861DA237}" name="CANTIDAD TOTAL ESTIMADA"/>
    <tableColumn id="5" xr3:uid="{2F32E783-215B-40BC-A827-9C96F1E70112}" name="PRECIO UNITARIO ESTIMADO"/>
    <tableColumn id="6" xr3:uid="{C709EBD0-5E10-4D08-94E2-04F0855BD812}"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CF3F4C5B-868B-45FC-9BB2-7CCE913AB994}" name="Table3153" displayName="Table3153" ref="A1648:F1652" totalsRowShown="0">
  <autoFilter ref="A1648:F1652" xr:uid="{B6E93724-1CA0-47E8-9146-7E7B91060149}"/>
  <tableColumns count="6">
    <tableColumn id="1" xr3:uid="{64E649A3-9B2C-487D-9E17-648FB02261B3}" name="CÓDIGO CATÁLOGO"/>
    <tableColumn id="2" xr3:uid="{A86649E4-92DA-466F-A3D5-EFB157ABBE14}" name="ARTÍCULO">
      <calculatedColumnFormula>IFERROR(INDEX(UNSPSCDes,MATCH(INDIRECT(ADDRESS(ROW(),COLUMN()-1,4)),UNSPSCCode,0)),"")</calculatedColumnFormula>
    </tableColumn>
    <tableColumn id="3" xr3:uid="{DFD28D76-3A71-49A5-BDC9-E3546CC17F43}" name="UNIDAD DE MEDIDA"/>
    <tableColumn id="4" xr3:uid="{E4020E98-8B12-4CD3-9329-5E2D85E2F3B3}" name="CANTIDAD TOTAL ESTIMADA"/>
    <tableColumn id="5" xr3:uid="{CCB2DE51-EF02-4E33-A9F1-0F3D32DA4D44}" name="PRECIO UNITARIO ESTIMADO"/>
    <tableColumn id="6" xr3:uid="{6A9C2582-CBCB-4BBB-950A-FC7693CA4DFD}"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8DD68B25-5A21-4176-B0F0-A79FC5707CF3}" name="Table3154" displayName="Table3154" ref="A1662:F1668" totalsRowShown="0">
  <autoFilter ref="A1662:F1668" xr:uid="{8ECFCFAB-C9D7-485F-B522-5E5F834D564D}"/>
  <tableColumns count="6">
    <tableColumn id="1" xr3:uid="{92700384-9026-431B-9A0F-2E6B1D93A600}" name="CÓDIGO CATÁLOGO"/>
    <tableColumn id="2" xr3:uid="{0CE78759-5656-4F82-8818-36EC65BF2049}" name="ARTÍCULO">
      <calculatedColumnFormula>IFERROR(INDEX(UNSPSCDes,MATCH(INDIRECT(ADDRESS(ROW(),COLUMN()-1,4)),UNSPSCCode,0)),"")</calculatedColumnFormula>
    </tableColumn>
    <tableColumn id="3" xr3:uid="{D52FE118-136D-4B8E-A66D-102170DAABAB}" name="UNIDAD DE MEDIDA"/>
    <tableColumn id="4" xr3:uid="{B3320C17-C7EF-408B-86ED-207C0565E7C4}" name="CANTIDAD TOTAL ESTIMADA"/>
    <tableColumn id="5" xr3:uid="{BD3F7880-4248-4B2E-BE62-4C0DB0965F0B}" name="PRECIO UNITARIO ESTIMADO"/>
    <tableColumn id="6" xr3:uid="{CAA5F919-EA54-4428-A660-1E74C5719279}"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3C748162-B106-4CE1-99AC-A2E543B5C5B8}" name="Table3155" displayName="Table3155" ref="A1678:F1681" totalsRowShown="0">
  <autoFilter ref="A1678:F1681" xr:uid="{A5A28DEF-AFEC-4034-955E-57CF67E6B6D8}"/>
  <tableColumns count="6">
    <tableColumn id="1" xr3:uid="{D315B40E-1323-4ECB-9E63-C65DFCA65369}" name="CÓDIGO CATÁLOGO"/>
    <tableColumn id="2" xr3:uid="{137E4181-608B-4E7F-84D5-9216420AF7D0}" name="ARTÍCULO">
      <calculatedColumnFormula>IFERROR(INDEX(UNSPSCDes,MATCH(INDIRECT(ADDRESS(ROW(),COLUMN()-1,4)),UNSPSCCode,0)),"")</calculatedColumnFormula>
    </tableColumn>
    <tableColumn id="3" xr3:uid="{58EDF7ED-33EC-4A3A-8F7B-9E6E8DBF341D}" name="UNIDAD DE MEDIDA"/>
    <tableColumn id="4" xr3:uid="{332E4CDD-F928-4DE5-9356-1E4BD88F2664}" name="CANTIDAD TOTAL ESTIMADA"/>
    <tableColumn id="5" xr3:uid="{CD198415-5982-40C6-9A19-932C314B8A56}" name="PRECIO UNITARIO ESTIMADO"/>
    <tableColumn id="6" xr3:uid="{1D40100F-3CA1-4D06-A04B-85D0F77039EE}"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8D3845AD-1EE5-49B4-81FB-BA31724F4707}" name="Table3156" displayName="Table3156" ref="A1691:F1692" totalsRowShown="0">
  <autoFilter ref="A1691:F1692" xr:uid="{581C30BF-317C-459A-9607-52D6E8F3D816}"/>
  <tableColumns count="6">
    <tableColumn id="1" xr3:uid="{BE16D40A-470A-4845-A683-E8347D7C1A97}" name="CÓDIGO CATÁLOGO" dataDxfId="4" dataCellStyle="ArticleBody"/>
    <tableColumn id="2" xr3:uid="{59094EB4-4564-459B-BA11-6B6E84F082A3}" name="ARTÍCULO">
      <calculatedColumnFormula>IFERROR(INDEX(UNSPSCDes,MATCH(INDIRECT(ADDRESS(ROW(),COLUMN()-1,4)),UNSPSCCode,0)),"")</calculatedColumnFormula>
    </tableColumn>
    <tableColumn id="3" xr3:uid="{7337C583-B39A-46CD-8A76-313C5939B20A}" name="UNIDAD DE MEDIDA"/>
    <tableColumn id="4" xr3:uid="{80CD9DEC-5E50-4B09-AD8E-431819DBF77E}" name="CANTIDAD TOTAL ESTIMADA"/>
    <tableColumn id="5" xr3:uid="{B82821F8-6F9E-4655-81CF-EBF84AC32D2B}" name="PRECIO UNITARIO ESTIMADO"/>
    <tableColumn id="6" xr3:uid="{AA2E6B5B-1649-4ABE-9F57-C35A7142AAA2}"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C9DDFE3-EFFE-4312-933C-919B422A6DB2}" name="Table315" displayName="Table315" ref="A1702:F1703" totalsRowShown="0">
  <autoFilter ref="A1702:F1703" xr:uid="{1B95CB9B-FA79-4724-9337-3779773D1253}"/>
  <tableColumns count="6">
    <tableColumn id="1" xr3:uid="{FAE9E2E8-81CE-4096-A506-4C8C9F20B452}" name="CÓDIGO CATÁLOGO" dataDxfId="3"/>
    <tableColumn id="2" xr3:uid="{A60BE211-0DBB-4AD1-8E05-7F21D5F7FD3D}" name="ARTÍCULO">
      <calculatedColumnFormula>IFERROR(INDEX(UNSPSCDes,MATCH(INDIRECT(ADDRESS(ROW(),COLUMN()-1,4)),UNSPSCCode,0)),"")</calculatedColumnFormula>
    </tableColumn>
    <tableColumn id="3" xr3:uid="{86F176F3-9211-4F37-961E-0522731E157B}" name="UNIDAD DE MEDIDA"/>
    <tableColumn id="4" xr3:uid="{C64E65D6-B5FA-44C4-84AB-87BD3F490E9E}" name="CANTIDAD TOTAL ESTIMADA"/>
    <tableColumn id="5" xr3:uid="{178B4640-B365-40CF-B7D9-D355EC31F9D1}" name="PRECIO UNITARIO ESTIMADO"/>
    <tableColumn id="6" xr3:uid="{5D1170E7-BEC7-486B-ACB3-A44AEC75E10C}"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032A0B3-E06B-4A75-A034-44F49772FAD9}" name="Table316" displayName="Table316" ref="A1713:F1714" totalsRowShown="0">
  <autoFilter ref="A1713:F1714" xr:uid="{D3A1680B-36F6-4917-A7CB-A40E1F73333C}"/>
  <tableColumns count="6">
    <tableColumn id="1" xr3:uid="{8540D1CE-F9BE-4A51-8DEF-9CA79ABA4A6C}" name="CÓDIGO CATÁLOGO" dataDxfId="2"/>
    <tableColumn id="2" xr3:uid="{E803F96B-7890-4697-A89D-052B88CBC843}" name="ARTÍCULO">
      <calculatedColumnFormula>IFERROR(INDEX(UNSPSCDes,MATCH(INDIRECT(ADDRESS(ROW(),COLUMN()-1,4)),UNSPSCCode,0)),"")</calculatedColumnFormula>
    </tableColumn>
    <tableColumn id="3" xr3:uid="{A33C3201-219A-4C7C-ABCF-9F9F5F3E2A7D}" name="UNIDAD DE MEDIDA"/>
    <tableColumn id="4" xr3:uid="{A162822D-CAF3-409C-91F2-FC4507A41ABA}" name="CANTIDAD TOTAL ESTIMADA"/>
    <tableColumn id="5" xr3:uid="{24C260EB-C152-4F79-BA43-20611580E333}" name="PRECIO UNITARIO ESTIMADO"/>
    <tableColumn id="6" xr3:uid="{3AFEC3F6-CE37-45E7-80CF-18A41D7915F2}"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DCDAF7-43EB-46B0-80DD-64457C33ADFD}" name="Table319" displayName="Table319" ref="A189:F192" totalsRowShown="0">
  <autoFilter ref="A189:F192" xr:uid="{A64E8D6D-4CE2-456E-B4EA-76AD647E4D9C}"/>
  <tableColumns count="6">
    <tableColumn id="1" xr3:uid="{4E30E75E-D42F-4523-81C0-2C3034C42284}" name="CÓDIGO CATÁLOGO"/>
    <tableColumn id="2" xr3:uid="{27AEBFA0-404F-4576-8995-103E8F8A8990}" name="ARTÍCULO">
      <calculatedColumnFormula>IFERROR(INDEX(UNSPSCDes,MATCH(INDIRECT(ADDRESS(ROW(),COLUMN()-1,4)),UNSPSCCode,0)),"")</calculatedColumnFormula>
    </tableColumn>
    <tableColumn id="3" xr3:uid="{C3616724-D758-4C08-A68D-525055E454B3}" name="UNIDAD DE MEDIDA"/>
    <tableColumn id="4" xr3:uid="{8F647421-5252-438F-BAF3-58019EF53605}" name="CANTIDAD TOTAL ESTIMADA"/>
    <tableColumn id="5" xr3:uid="{00B74C5E-0C29-4438-A89A-CD2B324D1DC2}" name="PRECIO UNITARIO ESTIMADO"/>
    <tableColumn id="6" xr3:uid="{05DC8B4C-8582-4B06-AC56-2B856B11F752}"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950FCC6-4E51-4AA3-85E4-1B9AD1BB9633}" name="Table395" displayName="Table395" ref="A1724:F1725" totalsRowShown="0">
  <autoFilter ref="A1724:F1725" xr:uid="{FAF36348-410A-4414-99C8-BBA271D7CD32}"/>
  <tableColumns count="6">
    <tableColumn id="1" xr3:uid="{D37CB706-092F-4B03-A010-C37D0744506B}" name="CÓDIGO CATÁLOGO" dataDxfId="1"/>
    <tableColumn id="2" xr3:uid="{E5452C61-7B90-4882-95F7-075E3F891254}" name="ARTÍCULO">
      <calculatedColumnFormula>IFERROR(INDEX(UNSPSCDes,MATCH(INDIRECT(ADDRESS(ROW(),COLUMN()-1,4)),UNSPSCCode,0)),"")</calculatedColumnFormula>
    </tableColumn>
    <tableColumn id="3" xr3:uid="{C08ED652-21CB-4E4D-9841-E59F21B6A3F1}" name="UNIDAD DE MEDIDA"/>
    <tableColumn id="4" xr3:uid="{165A5E7D-878C-492B-B651-1320EA1750C5}" name="CANTIDAD TOTAL ESTIMADA"/>
    <tableColumn id="5" xr3:uid="{4D08FA83-967B-429D-8345-524FA749D3D7}" name="PRECIO UNITARIO ESTIMADO"/>
    <tableColumn id="6" xr3:uid="{064700DA-2136-406F-BCBE-2B9DDD7E7BA5}"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E609F72F-2E54-4C38-9B9B-A679C18AB3AC}" name="Table3148" displayName="Table3148" ref="A1735:F1736" totalsRowShown="0">
  <autoFilter ref="A1735:F1736" xr:uid="{2BB334BC-790F-474C-9C83-3E7E98E7A843}"/>
  <tableColumns count="6">
    <tableColumn id="1" xr3:uid="{CF9316B2-DB5A-4193-9949-A3A9A48D1879}" name="CÓDIGO CATÁLOGO" dataDxfId="0"/>
    <tableColumn id="2" xr3:uid="{4B302DB9-7CA1-47B0-A577-6DB13E644ACE}" name="ARTÍCULO">
      <calculatedColumnFormula>IFERROR(INDEX(UNSPSCDes,MATCH(INDIRECT(ADDRESS(ROW(),COLUMN()-1,4)),UNSPSCCode,0)),"")</calculatedColumnFormula>
    </tableColumn>
    <tableColumn id="3" xr3:uid="{589F7388-19EF-420D-B503-85C537AA289D}" name="UNIDAD DE MEDIDA"/>
    <tableColumn id="4" xr3:uid="{28EB066B-E65F-4270-8853-93390BB20CDA}" name="CANTIDAD TOTAL ESTIMADA"/>
    <tableColumn id="5" xr3:uid="{291C4CB2-3712-48D0-A161-E30B2F45E058}" name="PRECIO UNITARIO ESTIMADO"/>
    <tableColumn id="6" xr3:uid="{69E12B26-332B-4ACA-8257-1B6995AA6618}"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FBEB18C-6A0E-4C1A-AD13-D05FBA1CB132}" name="Table320" displayName="Table320" ref="A202:F203" totalsRowShown="0">
  <autoFilter ref="A202:F203" xr:uid="{1760DB04-F0AD-4893-AE35-95E662FFF4CF}"/>
  <tableColumns count="6">
    <tableColumn id="1" xr3:uid="{38CD4F6F-44E4-4AD8-BD62-7AEEAE6B0787}" name="CÓDIGO CATÁLOGO"/>
    <tableColumn id="2" xr3:uid="{4C99EF72-AAFA-4B50-B701-4C55A0B51E24}" name="ARTÍCULO">
      <calculatedColumnFormula>IFERROR(INDEX(UNSPSCDes,MATCH(INDIRECT(ADDRESS(ROW(),COLUMN()-1,4)),UNSPSCCode,0)),"")</calculatedColumnFormula>
    </tableColumn>
    <tableColumn id="3" xr3:uid="{0F5EBE14-D12B-49C7-815D-EDA5992E0572}" name="UNIDAD DE MEDIDA"/>
    <tableColumn id="4" xr3:uid="{E8C9A66B-374C-4214-BE4B-3E903277ED56}" name="CANTIDAD TOTAL ESTIMADA"/>
    <tableColumn id="5" xr3:uid="{324C498C-EACD-4C7B-9BAE-845E1F8F5AB6}" name="PRECIO UNITARIO ESTIMADO"/>
    <tableColumn id="6" xr3:uid="{AEE0111C-2989-4262-9C05-71577757248C}"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81D90EB-9ADC-47DE-8463-463893BFD6AE}" name="Table321" displayName="Table321" ref="A213:F214" totalsRowShown="0">
  <autoFilter ref="A213:F214" xr:uid="{0D253DB9-B5CF-4AB1-88E9-E87DA694FE9F}"/>
  <tableColumns count="6">
    <tableColumn id="1" xr3:uid="{4549A6AA-E999-4752-A432-6433A1F5D42C}" name="CÓDIGO CATÁLOGO"/>
    <tableColumn id="2" xr3:uid="{C247C4A4-5F72-4067-8734-618EE0F2E88E}" name="ARTÍCULO">
      <calculatedColumnFormula>IFERROR(INDEX(UNSPSCDes,MATCH(INDIRECT(ADDRESS(ROW(),COLUMN()-1,4)),UNSPSCCode,0)),"")</calculatedColumnFormula>
    </tableColumn>
    <tableColumn id="3" xr3:uid="{67390EE3-0E3E-4F57-8D17-9C0770117476}" name="UNIDAD DE MEDIDA"/>
    <tableColumn id="4" xr3:uid="{15F14A31-0559-4772-BAB2-AF4C82A13FCE}" name="CANTIDAD TOTAL ESTIMADA"/>
    <tableColumn id="5" xr3:uid="{E4FBB539-6073-480F-974F-849DF8DC9474}" name="PRECIO UNITARIO ESTIMADO"/>
    <tableColumn id="6" xr3:uid="{3E303F91-8697-478F-A620-B2EBA904E778}"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76786C8-1026-4D51-86BB-868B2D72D917}" name="Table322" displayName="Table322" ref="A224:F225" totalsRowShown="0">
  <autoFilter ref="A224:F225" xr:uid="{790C544F-5641-4263-A0A7-395DE2F7AE94}"/>
  <tableColumns count="6">
    <tableColumn id="1" xr3:uid="{4E52DE72-5745-430E-A0F1-6F8215274777}" name="CÓDIGO CATÁLOGO"/>
    <tableColumn id="2" xr3:uid="{17ECE8E9-3A83-4BCB-BF5E-85621A7590FC}" name="ARTÍCULO">
      <calculatedColumnFormula>IFERROR(INDEX(UNSPSCDes,MATCH(INDIRECT(ADDRESS(ROW(),COLUMN()-1,4)),UNSPSCCode,0)),"")</calculatedColumnFormula>
    </tableColumn>
    <tableColumn id="3" xr3:uid="{82C841CA-9CA4-44FB-8E1C-169E56D35B7C}" name="UNIDAD DE MEDIDA"/>
    <tableColumn id="4" xr3:uid="{1351D20C-3F49-47E6-A6B1-A7D0B7F5DDD0}" name="CANTIDAD TOTAL ESTIMADA"/>
    <tableColumn id="5" xr3:uid="{DC39BA2E-2C7F-4CCA-8636-91E029B26882}" name="PRECIO UNITARIO ESTIMADO"/>
    <tableColumn id="6" xr3:uid="{71ADCE61-33D2-47DA-9961-7922DB267363}"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807D03-5DC6-48EA-AA23-D73B1270A523}" name="Table323" displayName="Table323" ref="A235:F236" totalsRowShown="0">
  <autoFilter ref="A235:F236" xr:uid="{A45070EE-5228-4413-80E1-B8EBCE0A9C0B}"/>
  <tableColumns count="6">
    <tableColumn id="1" xr3:uid="{A4DFFDC7-D343-46FC-8E5C-34EFCB84FFCA}" name="CÓDIGO CATÁLOGO"/>
    <tableColumn id="2" xr3:uid="{9CC3854A-5BA4-42D1-9299-76B13921ABBE}" name="ARTÍCULO">
      <calculatedColumnFormula>IFERROR(INDEX(UNSPSCDes,MATCH(INDIRECT(ADDRESS(ROW(),COLUMN()-1,4)),UNSPSCCode,0)),"")</calculatedColumnFormula>
    </tableColumn>
    <tableColumn id="3" xr3:uid="{6B8BDA2F-F158-473F-B9EA-4B1C243CB81D}" name="UNIDAD DE MEDIDA"/>
    <tableColumn id="4" xr3:uid="{51685A9F-0622-4ACF-83D9-39FA61EB96B0}" name="CANTIDAD TOTAL ESTIMADA"/>
    <tableColumn id="5" xr3:uid="{0E7260C6-6DB0-427F-87A0-DAB3FCFBBC81}" name="PRECIO UNITARIO ESTIMADO"/>
    <tableColumn id="6" xr3:uid="{14028F7B-4F85-41BF-8F9D-FA357F9C50C2}"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8E60A0-152F-4F9A-89F2-774BAB5B0A37}" name="Table32" displayName="Table32" ref="A33:F34" totalsRowShown="0">
  <autoFilter ref="A33:F34" xr:uid="{1993205D-AD8E-45B7-A829-7D19FDE8EC83}"/>
  <tableColumns count="6">
    <tableColumn id="1" xr3:uid="{6CFEF70F-177E-4A58-9225-CA7D21F608B0}" name="CÓDIGO CATÁLOGO"/>
    <tableColumn id="2" xr3:uid="{9B0427D5-CB3D-4FEA-AE76-EBF9A2F8FEDB}" name="ARTÍCULO">
      <calculatedColumnFormula>IFERROR(INDEX(UNSPSCDes,MATCH(INDIRECT(ADDRESS(ROW(),COLUMN()-1,4)),UNSPSCCode,0)),"")</calculatedColumnFormula>
    </tableColumn>
    <tableColumn id="3" xr3:uid="{62F05FFB-4AFD-4C64-93BD-4F262002B87E}" name="UNIDAD DE MEDIDA"/>
    <tableColumn id="4" xr3:uid="{70D3EE7C-278B-482C-9E01-FE3F4674E091}" name="CANTIDAD TOTAL ESTIMADA"/>
    <tableColumn id="5" xr3:uid="{F3D50D08-E106-4BC1-8C14-83517F7F4F0D}" name="PRECIO UNITARIO ESTIMADO"/>
    <tableColumn id="6" xr3:uid="{8E1B7FD8-B2A1-45F3-8D53-F20B2B4E4F71}"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34EE1B-13C5-412A-852D-997C48105D2B}" name="Table324" displayName="Table324" ref="A246:F247" totalsRowShown="0">
  <autoFilter ref="A246:F247" xr:uid="{F934639B-14AA-4EFC-8754-0A397DD43778}"/>
  <tableColumns count="6">
    <tableColumn id="1" xr3:uid="{26610785-501B-4736-89A7-582A75239D84}" name="CÓDIGO CATÁLOGO"/>
    <tableColumn id="2" xr3:uid="{739A3EC5-0A75-464F-85D2-FEC5BBBDAFBF}" name="ARTÍCULO">
      <calculatedColumnFormula>IFERROR(INDEX(UNSPSCDes,MATCH(INDIRECT(ADDRESS(ROW(),COLUMN()-1,4)),UNSPSCCode,0)),"")</calculatedColumnFormula>
    </tableColumn>
    <tableColumn id="3" xr3:uid="{AA2BAF63-E038-4D2C-9502-1D7881A965D3}" name="UNIDAD DE MEDIDA"/>
    <tableColumn id="4" xr3:uid="{22365610-ED55-4C42-9420-7E4BBBB2065B}" name="CANTIDAD TOTAL ESTIMADA"/>
    <tableColumn id="5" xr3:uid="{91308725-7EA1-4D6A-AF8E-2D55ED61E39F}" name="PRECIO UNITARIO ESTIMADO"/>
    <tableColumn id="6" xr3:uid="{D39A2C01-A77C-41E3-A49F-88797F737DC3}"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82AE6CA-F47B-42AE-B60A-266C32CA650E}" name="Table325" displayName="Table325" ref="A257:F258" totalsRowShown="0">
  <autoFilter ref="A257:F258" xr:uid="{0DC85377-BA4E-4526-8CEE-D0299BE72A41}"/>
  <tableColumns count="6">
    <tableColumn id="1" xr3:uid="{4567DBA3-BB9D-4ED6-AA42-8BDBA1C52DE5}" name="CÓDIGO CATÁLOGO"/>
    <tableColumn id="2" xr3:uid="{D6FC3922-1191-409F-B40F-8885B1116931}" name="ARTÍCULO">
      <calculatedColumnFormula>IFERROR(INDEX(UNSPSCDes,MATCH(INDIRECT(ADDRESS(ROW(),COLUMN()-1,4)),UNSPSCCode,0)),"")</calculatedColumnFormula>
    </tableColumn>
    <tableColumn id="3" xr3:uid="{85DC4674-A1A9-4860-AC55-6BB939BF7267}" name="UNIDAD DE MEDIDA"/>
    <tableColumn id="4" xr3:uid="{488BBB80-D373-46AB-A07E-187328AA7672}" name="CANTIDAD TOTAL ESTIMADA"/>
    <tableColumn id="5" xr3:uid="{DA88D56C-D6EA-45FD-BD87-E158F1CD402A}" name="PRECIO UNITARIO ESTIMADO"/>
    <tableColumn id="6" xr3:uid="{826E8E41-67C4-45E3-A023-97A1CB784D8A}"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05917B8-40C1-4DF1-B18D-2A763C520E36}" name="Table326" displayName="Table326" ref="A268:F269" totalsRowShown="0">
  <autoFilter ref="A268:F269" xr:uid="{265C757D-54D5-4453-86F5-2C76FF305695}"/>
  <tableColumns count="6">
    <tableColumn id="1" xr3:uid="{4DE0518D-5166-45A9-8BAC-9F3183C7ED29}" name="CÓDIGO CATÁLOGO"/>
    <tableColumn id="2" xr3:uid="{A9640FD1-0720-43DC-AF36-114CCB87A912}" name="ARTÍCULO">
      <calculatedColumnFormula>IFERROR(INDEX(UNSPSCDes,MATCH(INDIRECT(ADDRESS(ROW(),COLUMN()-1,4)),UNSPSCCode,0)),"")</calculatedColumnFormula>
    </tableColumn>
    <tableColumn id="3" xr3:uid="{C58DF5F8-DF12-4AD2-A0D1-BBFF68A25AF3}" name="UNIDAD DE MEDIDA"/>
    <tableColumn id="4" xr3:uid="{0131B01D-FC55-424B-ABAE-CE1A8430BF90}" name="CANTIDAD TOTAL ESTIMADA"/>
    <tableColumn id="5" xr3:uid="{D3EFA6C8-59F4-462C-93C0-202047B1D866}" name="PRECIO UNITARIO ESTIMADO"/>
    <tableColumn id="6" xr3:uid="{08656D66-F839-4397-8616-31BFB00FBCF7}"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42139C3-F90F-4B71-AA25-0603BA41DB6D}" name="Table327" displayName="Table327" ref="A279:F280" totalsRowShown="0">
  <autoFilter ref="A279:F280" xr:uid="{B4DDE514-894E-42BA-B4B7-FD175D072003}"/>
  <tableColumns count="6">
    <tableColumn id="1" xr3:uid="{F2AE7BAA-66EF-4D59-B1AC-F00EF420B37C}" name="CÓDIGO CATÁLOGO" dataDxfId="82" dataCellStyle="ArticleBody"/>
    <tableColumn id="2" xr3:uid="{B7A2DE47-DFA7-457F-AB0B-97CBB92C962E}" name="ARTÍCULO">
      <calculatedColumnFormula>IFERROR(INDEX(UNSPSCDes,MATCH(INDIRECT(ADDRESS(ROW(),COLUMN()-1,4)),UNSPSCCode,0)),"")</calculatedColumnFormula>
    </tableColumn>
    <tableColumn id="3" xr3:uid="{E33DBD4A-549D-4C19-B255-2C5B4CE8ABD8}" name="UNIDAD DE MEDIDA"/>
    <tableColumn id="4" xr3:uid="{76B56313-35CA-400E-8908-70733E2599FD}" name="CANTIDAD TOTAL ESTIMADA"/>
    <tableColumn id="5" xr3:uid="{29048706-7ABF-4CAB-A5A8-87D3DEE3D86B}" name="PRECIO UNITARIO ESTIMADO"/>
    <tableColumn id="6" xr3:uid="{962CB58B-5F51-4122-BF29-5F7484E6D032}"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89050C8-106A-4D49-8201-2235FC6D863B}" name="Table328" displayName="Table328" ref="A290:F291" totalsRowShown="0">
  <autoFilter ref="A290:F291" xr:uid="{0A568164-7422-464F-A8D9-8C6C12F1D331}"/>
  <tableColumns count="6">
    <tableColumn id="1" xr3:uid="{8F540669-21A9-40A1-A5BD-55649B9CC350}" name="CÓDIGO CATÁLOGO"/>
    <tableColumn id="2" xr3:uid="{216F55C6-B5BA-4156-AEE5-33491301BA7F}" name="ARTÍCULO">
      <calculatedColumnFormula>IFERROR(INDEX(UNSPSCDes,MATCH(INDIRECT(ADDRESS(ROW(),COLUMN()-1,4)),UNSPSCCode,0)),"")</calculatedColumnFormula>
    </tableColumn>
    <tableColumn id="3" xr3:uid="{375E2907-E05A-4FFF-87EB-E7B1652EFA37}" name="UNIDAD DE MEDIDA"/>
    <tableColumn id="4" xr3:uid="{DE5E9D49-3C0C-4B11-A1E7-DA6C8FA7B7C9}" name="CANTIDAD TOTAL ESTIMADA"/>
    <tableColumn id="5" xr3:uid="{738A5BA9-7839-439D-820A-320730418714}" name="PRECIO UNITARIO ESTIMADO"/>
    <tableColumn id="6" xr3:uid="{C7B88ADE-84C6-4E8E-88E3-40AE95DC689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E807235-047E-4E83-ACF6-1BBCAFF00F6B}" name="Table329" displayName="Table329" ref="A301:F302" totalsRowShown="0">
  <autoFilter ref="A301:F302" xr:uid="{E8647ECE-2EBB-4E20-8CBC-27A64DEB912A}"/>
  <tableColumns count="6">
    <tableColumn id="1" xr3:uid="{9BB3609C-9CA7-46F8-A634-2BB2BDDFA92E}" name="CÓDIGO CATÁLOGO"/>
    <tableColumn id="2" xr3:uid="{FBF88E28-0043-4574-B8F3-5B3422459586}" name="ARTÍCULO">
      <calculatedColumnFormula>IFERROR(INDEX(UNSPSCDes,MATCH(INDIRECT(ADDRESS(ROW(),COLUMN()-1,4)),UNSPSCCode,0)),"")</calculatedColumnFormula>
    </tableColumn>
    <tableColumn id="3" xr3:uid="{DD298B88-3429-44A7-8CBE-F7625EE08A74}" name="UNIDAD DE MEDIDA"/>
    <tableColumn id="4" xr3:uid="{BB9A1BC2-126D-4384-9480-2AEDB2C92D12}" name="CANTIDAD TOTAL ESTIMADA"/>
    <tableColumn id="5" xr3:uid="{942859F9-0040-44BE-B3CF-0BEDE632A01C}" name="PRECIO UNITARIO ESTIMADO"/>
    <tableColumn id="6" xr3:uid="{9328B700-C946-41BA-AED6-832CEFA0AB48}"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A06B0C6-9C7C-4201-B0E9-21ED64EDD0D5}" name="Table330" displayName="Table330" ref="A312:F313" totalsRowShown="0">
  <autoFilter ref="A312:F313" xr:uid="{7BEF426C-C752-446B-A403-C704B66BA614}"/>
  <tableColumns count="6">
    <tableColumn id="1" xr3:uid="{144EAB68-FC51-44D2-9BB8-F39D5CFDACAC}" name="CÓDIGO CATÁLOGO"/>
    <tableColumn id="2" xr3:uid="{2CB95EA6-175D-4023-B277-6552DD217DAC}" name="ARTÍCULO">
      <calculatedColumnFormula>IFERROR(INDEX(UNSPSCDes,MATCH(INDIRECT(ADDRESS(ROW(),COLUMN()-1,4)),UNSPSCCode,0)),"")</calculatedColumnFormula>
    </tableColumn>
    <tableColumn id="3" xr3:uid="{82373754-BC94-497B-99B6-318F291B8B49}" name="UNIDAD DE MEDIDA"/>
    <tableColumn id="4" xr3:uid="{70E7DD3F-5F64-4B40-93B2-75CEA143B18E}" name="CANTIDAD TOTAL ESTIMADA"/>
    <tableColumn id="5" xr3:uid="{BCA14BC6-FCEF-47F9-A7B9-75808F11CED7}" name="PRECIO UNITARIO ESTIMADO"/>
    <tableColumn id="6" xr3:uid="{7A35D167-BBCE-4CDB-ACB6-F148FB8C99DA}"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984F887-CA2B-40D9-AA08-C27E442CB8C4}" name="Table331" displayName="Table331" ref="A323:F324" totalsRowShown="0">
  <autoFilter ref="A323:F324" xr:uid="{F166C4F5-3560-49FA-8F6A-6BB1163AC304}"/>
  <tableColumns count="6">
    <tableColumn id="1" xr3:uid="{1AAF8149-08DF-4528-A963-89E6FEAFF47A}" name="CÓDIGO CATÁLOGO"/>
    <tableColumn id="2" xr3:uid="{4642F6FC-061E-4ED4-B355-41725AAF278B}" name="ARTÍCULO">
      <calculatedColumnFormula>IFERROR(INDEX(UNSPSCDes,MATCH(INDIRECT(ADDRESS(ROW(),COLUMN()-1,4)),UNSPSCCode,0)),"")</calculatedColumnFormula>
    </tableColumn>
    <tableColumn id="3" xr3:uid="{EF9394EA-69F6-4969-922F-F2A459307384}" name="UNIDAD DE MEDIDA"/>
    <tableColumn id="4" xr3:uid="{4009BD44-FA6D-474C-8B5C-BFF7DD169356}" name="CANTIDAD TOTAL ESTIMADA"/>
    <tableColumn id="5" xr3:uid="{452D15BA-33B9-496C-AAE6-5561EA8E140A}" name="PRECIO UNITARIO ESTIMADO"/>
    <tableColumn id="6" xr3:uid="{0357BF6E-D5B2-4120-8AF0-D747E7798DF8}"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889E00C-868E-4E9C-8868-5CBFD6CABFD3}" name="Table332" displayName="Table332" ref="A334:F335" totalsRowShown="0">
  <autoFilter ref="A334:F335" xr:uid="{32DD8351-4E9C-4D30-A89E-57459FDFC60D}"/>
  <tableColumns count="6">
    <tableColumn id="1" xr3:uid="{2800EBCE-2CEE-48A1-AA7C-C5E161451AE6}" name="CÓDIGO CATÁLOGO"/>
    <tableColumn id="2" xr3:uid="{8736E9D0-C388-43F2-962E-D1A7562F671F}" name="ARTÍCULO">
      <calculatedColumnFormula>IFERROR(INDEX(UNSPSCDes,MATCH(INDIRECT(ADDRESS(ROW(),COLUMN()-1,4)),UNSPSCCode,0)),"")</calculatedColumnFormula>
    </tableColumn>
    <tableColumn id="3" xr3:uid="{05180225-B0B8-4877-A680-81FCA349840E}" name="UNIDAD DE MEDIDA"/>
    <tableColumn id="4" xr3:uid="{4CCFDB53-DB50-4EB1-B44F-A4A9C46BC4E8}" name="CANTIDAD TOTAL ESTIMADA"/>
    <tableColumn id="5" xr3:uid="{1F970FAF-1AF6-4DDB-BC5E-8DE10EAAB07D}" name="PRECIO UNITARIO ESTIMADO"/>
    <tableColumn id="6" xr3:uid="{3F2466B2-C851-4DA7-88B9-2F1921F4D3A8}"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B6BA2D9-3985-4B9B-BE98-84BC96456836}" name="Table333" displayName="Table333" ref="A345:F346" totalsRowShown="0">
  <autoFilter ref="A345:F346" xr:uid="{F61E60B8-0776-4ED8-8811-60E72F6C1E94}"/>
  <tableColumns count="6">
    <tableColumn id="1" xr3:uid="{2C6A2BD2-11B4-47E9-812A-BCD455896CCB}" name="CÓDIGO CATÁLOGO"/>
    <tableColumn id="2" xr3:uid="{0FA754EE-F4C4-4581-9B25-3CBA13D5C139}" name="ARTÍCULO">
      <calculatedColumnFormula>IFERROR(INDEX(UNSPSCDes,MATCH(INDIRECT(ADDRESS(ROW(),COLUMN()-1,4)),UNSPSCCode,0)),"")</calculatedColumnFormula>
    </tableColumn>
    <tableColumn id="3" xr3:uid="{9C77F4C1-E4A2-47F5-85BA-F48D38DD21B5}" name="UNIDAD DE MEDIDA"/>
    <tableColumn id="4" xr3:uid="{8AD9A4B3-65F3-4087-AE82-D9A7AEF13692}" name="CANTIDAD TOTAL ESTIMADA"/>
    <tableColumn id="5" xr3:uid="{3BE38335-2364-4592-BDF9-B60360188263}" name="PRECIO UNITARIO ESTIMADO"/>
    <tableColumn id="6" xr3:uid="{0DC83482-1274-4DC6-91EF-3B6B5602AB22}"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E42745-73D6-4FDD-BB51-A97119D6F418}" name="Table33" displayName="Table33" ref="A44:F46" totalsRowShown="0">
  <autoFilter ref="A44:F46" xr:uid="{9AA0D91B-AC3A-45B4-B479-3A6C2DA29CB1}"/>
  <tableColumns count="6">
    <tableColumn id="1" xr3:uid="{454D42E1-323A-4EBF-B6B1-EB0032659EEF}" name="CÓDIGO CATÁLOGO" dataDxfId="85" dataCellStyle="ArticleBody"/>
    <tableColumn id="2" xr3:uid="{09499FFD-FF67-4763-9EC5-20BD6BE048B1}" name="ARTÍCULO">
      <calculatedColumnFormula>IFERROR(INDEX(UNSPSCDes,MATCH(INDIRECT(ADDRESS(ROW(),COLUMN()-1,4)),UNSPSCCode,0)),"")</calculatedColumnFormula>
    </tableColumn>
    <tableColumn id="3" xr3:uid="{033F75F3-324B-4E91-A75C-F8B09BA0991E}" name="UNIDAD DE MEDIDA"/>
    <tableColumn id="4" xr3:uid="{34C14806-7105-4BAD-9D10-843F3AE2BA78}" name="CANTIDAD TOTAL ESTIMADA"/>
    <tableColumn id="5" xr3:uid="{EB5E7D0A-B256-43AC-88EC-16C66342B617}" name="PRECIO UNITARIO ESTIMADO"/>
    <tableColumn id="6" xr3:uid="{6795F157-FE5B-48DF-AC09-C1AFBDCC1BC4}"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8B520D6-D6AE-4290-BBCC-1AF794CA5F7D}" name="Table334" displayName="Table334" ref="A356:F357" totalsRowShown="0">
  <autoFilter ref="A356:F357" xr:uid="{599F60F7-2868-492E-AC99-B4DAA9A3105E}"/>
  <tableColumns count="6">
    <tableColumn id="1" xr3:uid="{DACC04A4-F62A-4303-953B-D24CB2F310AF}" name="CÓDIGO CATÁLOGO"/>
    <tableColumn id="2" xr3:uid="{5DD675E0-DC26-4BA2-BE33-3F2AEEF4BBE2}" name="ARTÍCULO">
      <calculatedColumnFormula>IFERROR(INDEX(UNSPSCDes,MATCH(INDIRECT(ADDRESS(ROW(),COLUMN()-1,4)),UNSPSCCode,0)),"")</calculatedColumnFormula>
    </tableColumn>
    <tableColumn id="3" xr3:uid="{EF0B36F7-FD4C-409B-ABD5-32CE8529BF64}" name="UNIDAD DE MEDIDA"/>
    <tableColumn id="4" xr3:uid="{CD504C53-0100-4B4E-923E-F1750012A5F6}" name="CANTIDAD TOTAL ESTIMADA"/>
    <tableColumn id="5" xr3:uid="{A91392A6-3A80-4EC2-B621-00F9BF326D11}" name="PRECIO UNITARIO ESTIMADO"/>
    <tableColumn id="6" xr3:uid="{718C7EEC-A811-4D29-8045-FF5D423ED882}"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B377D5-5598-45FB-811B-35F1961887E1}" name="Table335" displayName="Table335" ref="A367:F368" totalsRowShown="0">
  <autoFilter ref="A367:F368" xr:uid="{3ED6EB1F-A3C6-428A-9773-0434F3D9A12A}"/>
  <tableColumns count="6">
    <tableColumn id="1" xr3:uid="{EAC49198-2171-4DB7-9685-40F354681B23}" name="CÓDIGO CATÁLOGO"/>
    <tableColumn id="2" xr3:uid="{89C87EED-C64B-40C8-A01B-5535AC436686}" name="ARTÍCULO">
      <calculatedColumnFormula>IFERROR(INDEX(UNSPSCDes,MATCH(INDIRECT(ADDRESS(ROW(),COLUMN()-1,4)),UNSPSCCode,0)),"")</calculatedColumnFormula>
    </tableColumn>
    <tableColumn id="3" xr3:uid="{C31E9925-416E-4551-BEF8-F9EEDF9CA6B9}" name="UNIDAD DE MEDIDA"/>
    <tableColumn id="4" xr3:uid="{8B937C72-A25F-4409-8CA8-5A8F15901A0D}" name="CANTIDAD TOTAL ESTIMADA"/>
    <tableColumn id="5" xr3:uid="{44C1E26F-864D-45C3-8556-82CC8B6A29C0}" name="PRECIO UNITARIO ESTIMADO"/>
    <tableColumn id="6" xr3:uid="{4A71CF14-E575-44B2-9B8C-811BF972584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38FE3DA-1710-4CB7-A3E2-A427FED4AA17}" name="Table336" displayName="Table336" ref="A378:F379" totalsRowShown="0">
  <autoFilter ref="A378:F379" xr:uid="{0E15B664-96E8-4312-8795-526A7B17F341}"/>
  <tableColumns count="6">
    <tableColumn id="1" xr3:uid="{EAEDCD8B-6625-4E8C-83A9-17990D8E2FC1}" name="CÓDIGO CATÁLOGO" dataDxfId="81" dataCellStyle="ArticleBody"/>
    <tableColumn id="2" xr3:uid="{25672701-57EF-4777-9634-0D22C1633691}" name="ARTÍCULO">
      <calculatedColumnFormula>IFERROR(INDEX(UNSPSCDes,MATCH(INDIRECT(ADDRESS(ROW(),COLUMN()-1,4)),UNSPSCCode,0)),"")</calculatedColumnFormula>
    </tableColumn>
    <tableColumn id="3" xr3:uid="{F235AE83-7953-492A-BC56-272739117E5C}" name="UNIDAD DE MEDIDA"/>
    <tableColumn id="4" xr3:uid="{DDA66BF9-F4A4-41BD-9D5B-4C9D728697C6}" name="CANTIDAD TOTAL ESTIMADA"/>
    <tableColumn id="5" xr3:uid="{0BCA510D-5C90-436E-8EF2-5C02DE1E9324}" name="PRECIO UNITARIO ESTIMADO"/>
    <tableColumn id="6" xr3:uid="{C747546F-EE6A-4B48-95F9-5B5E68A3781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2C56B35-AFEA-4884-8582-57DCA129672C}" name="Table337" displayName="Table337" ref="A389:F390" totalsRowShown="0">
  <autoFilter ref="A389:F390" xr:uid="{F6122362-ACBD-416C-B040-EBDE34E42A31}"/>
  <tableColumns count="6">
    <tableColumn id="1" xr3:uid="{A7F29CD2-DD11-4FC5-8981-CFED68AED437}" name="CÓDIGO CATÁLOGO" dataDxfId="80" dataCellStyle="ArticleBody"/>
    <tableColumn id="2" xr3:uid="{4B539A35-4C9C-4FEE-96E2-D3D410EEE976}" name="ARTÍCULO">
      <calculatedColumnFormula>IFERROR(INDEX(UNSPSCDes,MATCH(INDIRECT(ADDRESS(ROW(),COLUMN()-1,4)),UNSPSCCode,0)),"")</calculatedColumnFormula>
    </tableColumn>
    <tableColumn id="3" xr3:uid="{1887CAFF-5792-4048-B8E3-8BE19BA0C20D}" name="UNIDAD DE MEDIDA"/>
    <tableColumn id="4" xr3:uid="{CFC17A04-720A-4497-BE13-FDF1E9E30DC7}" name="CANTIDAD TOTAL ESTIMADA"/>
    <tableColumn id="5" xr3:uid="{3F6214E2-0C01-4A17-B490-14BA612A9D52}" name="PRECIO UNITARIO ESTIMADO"/>
    <tableColumn id="6" xr3:uid="{C45308F1-18FB-4851-817A-05F8DA3C418F}"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3EDF0EA-4850-43B3-9A94-9441B773960F}" name="Table338" displayName="Table338" ref="A400:F401" totalsRowShown="0">
  <autoFilter ref="A400:F401" xr:uid="{92B07866-D381-4B95-84F6-6DB287644E3D}"/>
  <tableColumns count="6">
    <tableColumn id="1" xr3:uid="{709A4830-312D-4B80-8423-FDD07397FBD4}" name="CÓDIGO CATÁLOGO"/>
    <tableColumn id="2" xr3:uid="{88D4B4CC-95EA-4D2D-BABD-08DA13DB7783}" name="ARTÍCULO">
      <calculatedColumnFormula>IFERROR(INDEX(UNSPSCDes,MATCH(INDIRECT(ADDRESS(ROW(),COLUMN()-1,4)),UNSPSCCode,0)),"")</calculatedColumnFormula>
    </tableColumn>
    <tableColumn id="3" xr3:uid="{22697333-F4C0-4D39-AA62-0B85C42373BB}" name="UNIDAD DE MEDIDA"/>
    <tableColumn id="4" xr3:uid="{4A9313C7-062F-4FA5-A211-168EE2AF8EE2}" name="CANTIDAD TOTAL ESTIMADA"/>
    <tableColumn id="5" xr3:uid="{B4DCB459-44EC-4843-BE5A-DE61B4CACFC1}" name="PRECIO UNITARIO ESTIMADO"/>
    <tableColumn id="6" xr3:uid="{47BAE4C2-B3D9-4A13-AB20-75A57B5FA978}"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AB01367-406A-4EA3-86D2-758099D15D9F}" name="Table339" displayName="Table339" ref="A411:F412" totalsRowShown="0">
  <autoFilter ref="A411:F412" xr:uid="{145D3531-1199-454D-B335-959F8FB645B6}"/>
  <tableColumns count="6">
    <tableColumn id="1" xr3:uid="{B3E4EA05-6B6B-4124-AE16-B4A3537EE3EC}" name="CÓDIGO CATÁLOGO"/>
    <tableColumn id="2" xr3:uid="{4CF485B0-36AD-4D53-9BBF-3A23C5EB3667}" name="ARTÍCULO">
      <calculatedColumnFormula>IFERROR(INDEX(UNSPSCDes,MATCH(INDIRECT(ADDRESS(ROW(),COLUMN()-1,4)),UNSPSCCode,0)),"")</calculatedColumnFormula>
    </tableColumn>
    <tableColumn id="3" xr3:uid="{94082FD2-266E-40B7-842E-B32756C58C6F}" name="UNIDAD DE MEDIDA"/>
    <tableColumn id="4" xr3:uid="{AB0C9A5B-4B3E-43D1-8BDA-6048A7CE6E57}" name="CANTIDAD TOTAL ESTIMADA"/>
    <tableColumn id="5" xr3:uid="{7D7F2C81-BDEF-4632-8CE2-23F4BB088844}" name="PRECIO UNITARIO ESTIMADO"/>
    <tableColumn id="6" xr3:uid="{A88E19CC-2ABD-48C4-8F41-7E0CBDF53638}"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E26FED7-06AE-49C7-A7B4-ED3E7E8518CE}" name="Table340" displayName="Table340" ref="A422:F423" totalsRowShown="0">
  <autoFilter ref="A422:F423" xr:uid="{9FC37779-7542-4079-9CB1-28E4CE01E765}"/>
  <tableColumns count="6">
    <tableColumn id="1" xr3:uid="{BB0FB6D3-C4BF-446F-B527-340E8A150C75}" name="CÓDIGO CATÁLOGO"/>
    <tableColumn id="2" xr3:uid="{E21F4D29-51A8-4DCE-A395-117D8B69933E}" name="ARTÍCULO">
      <calculatedColumnFormula>IFERROR(INDEX(UNSPSCDes,MATCH(INDIRECT(ADDRESS(ROW(),COLUMN()-1,4)),UNSPSCCode,0)),"")</calculatedColumnFormula>
    </tableColumn>
    <tableColumn id="3" xr3:uid="{63143307-95BF-451F-AB84-A42E444FAE44}" name="UNIDAD DE MEDIDA"/>
    <tableColumn id="4" xr3:uid="{4B2C6D9F-BF57-49A6-8B46-4ABF0CC9F57D}" name="CANTIDAD TOTAL ESTIMADA"/>
    <tableColumn id="5" xr3:uid="{F7DFD421-4EA4-43A8-A63F-5E224CC49537}" name="PRECIO UNITARIO ESTIMADO"/>
    <tableColumn id="6" xr3:uid="{083A7D4A-C18B-41FE-AF7B-4073854864BC}"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9F53395-D1FD-426B-BF55-22C449462425}" name="Table341" displayName="Table341" ref="A433:F434" totalsRowShown="0">
  <autoFilter ref="A433:F434" xr:uid="{BC5F258F-C99B-43CD-B841-CB8CAABA61EF}"/>
  <tableColumns count="6">
    <tableColumn id="1" xr3:uid="{632E95F8-747B-4548-93F3-78FB7572A0A0}" name="CÓDIGO CATÁLOGO"/>
    <tableColumn id="2" xr3:uid="{E1ECDBB8-B9BA-43D9-8825-7C9F533825B4}" name="ARTÍCULO">
      <calculatedColumnFormula>IFERROR(INDEX(UNSPSCDes,MATCH(INDIRECT(ADDRESS(ROW(),COLUMN()-1,4)),UNSPSCCode,0)),"")</calculatedColumnFormula>
    </tableColumn>
    <tableColumn id="3" xr3:uid="{32D0C4EF-36BD-48B7-96F4-F026B7D4E5A3}" name="UNIDAD DE MEDIDA"/>
    <tableColumn id="4" xr3:uid="{F37F6E6D-77E7-4327-9257-06E0E3B743B2}" name="CANTIDAD TOTAL ESTIMADA"/>
    <tableColumn id="5" xr3:uid="{789D35CE-3CF8-4498-9B8F-84CB5632982D}" name="PRECIO UNITARIO ESTIMADO"/>
    <tableColumn id="6" xr3:uid="{B25E88CA-19FB-4262-8BEF-69132D169EA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E7DA4DC-FCA1-41FD-B1F8-CBA87A1531BC}" name="Table342" displayName="Table342" ref="A444:F445" totalsRowShown="0">
  <autoFilter ref="A444:F445" xr:uid="{349D5F66-1A01-4655-A09C-A1CDA502789D}"/>
  <tableColumns count="6">
    <tableColumn id="1" xr3:uid="{FA936B62-923B-43DD-B5E6-E90D88EA828E}" name="CÓDIGO CATÁLOGO"/>
    <tableColumn id="2" xr3:uid="{BA417FDD-D6F6-4B81-814C-6E8E06EFDA7D}" name="ARTÍCULO">
      <calculatedColumnFormula>IFERROR(INDEX(UNSPSCDes,MATCH(INDIRECT(ADDRESS(ROW(),COLUMN()-1,4)),UNSPSCCode,0)),"")</calculatedColumnFormula>
    </tableColumn>
    <tableColumn id="3" xr3:uid="{455BDF5D-BFE4-444A-9FAF-CCD4E8F8CB58}" name="UNIDAD DE MEDIDA"/>
    <tableColumn id="4" xr3:uid="{DBAD3A0A-003A-423B-97C9-F657091B12C1}" name="CANTIDAD TOTAL ESTIMADA"/>
    <tableColumn id="5" xr3:uid="{7A7C7303-F606-4F7D-8066-D18D3DE3C4DA}" name="PRECIO UNITARIO ESTIMADO"/>
    <tableColumn id="6" xr3:uid="{3BC9CCDA-D8D0-41A9-BCF7-4112C6B51632}"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2AE5031-1D52-4261-A883-B0A485CF8559}" name="Table343" displayName="Table343" ref="A455:F456" totalsRowShown="0">
  <autoFilter ref="A455:F456" xr:uid="{D6C495FF-D738-402C-83DA-02AEF538B5D7}"/>
  <tableColumns count="6">
    <tableColumn id="1" xr3:uid="{5C4BA05E-FF96-4E10-8037-7DE33DFA6BF0}" name="CÓDIGO CATÁLOGO"/>
    <tableColumn id="2" xr3:uid="{984C1F59-B321-4BBB-B24C-D849804FC542}" name="ARTÍCULO">
      <calculatedColumnFormula>IFERROR(INDEX(UNSPSCDes,MATCH(INDIRECT(ADDRESS(ROW(),COLUMN()-1,4)),UNSPSCCode,0)),"")</calculatedColumnFormula>
    </tableColumn>
    <tableColumn id="3" xr3:uid="{D66CC6CF-AAA8-46E8-991F-88CE32D0F68B}" name="UNIDAD DE MEDIDA"/>
    <tableColumn id="4" xr3:uid="{FE8432A8-81D2-4FC0-A906-88628E2B3AF0}" name="CANTIDAD TOTAL ESTIMADA"/>
    <tableColumn id="5" xr3:uid="{27821815-37CF-4B82-B044-55314AFE93E5}" name="PRECIO UNITARIO ESTIMADO"/>
    <tableColumn id="6" xr3:uid="{69F034E8-0F05-4258-A4FB-ACE7123DD641}"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86AF0A-C891-46C4-B4D8-BB57A5BA3615}" name="Table36" displayName="Table36" ref="A56:F57" totalsRowShown="0">
  <autoFilter ref="A56:F57" xr:uid="{40A00DFC-4639-4BFD-94ED-927CB51DA0F2}"/>
  <tableColumns count="6">
    <tableColumn id="1" xr3:uid="{859ED7C1-2E72-4654-8AB2-4938FF92F2E9}" name="CÓDIGO CATÁLOGO"/>
    <tableColumn id="2" xr3:uid="{8613FEA5-FDEB-4EB8-A4C4-D2B646165499}" name="ARTÍCULO">
      <calculatedColumnFormula>IFERROR(INDEX(UNSPSCDes,MATCH(INDIRECT(ADDRESS(ROW(),COLUMN()-1,4)),UNSPSCCode,0)),"")</calculatedColumnFormula>
    </tableColumn>
    <tableColumn id="3" xr3:uid="{41F62D8F-DB8E-4C15-ACD4-E9800B2EC29D}" name="UNIDAD DE MEDIDA"/>
    <tableColumn id="4" xr3:uid="{DF89D16A-DED6-413C-9B5D-6E574275C4C3}" name="CANTIDAD TOTAL ESTIMADA"/>
    <tableColumn id="5" xr3:uid="{78357F3A-0722-4BCC-85D2-E16D817EF09F}" name="PRECIO UNITARIO ESTIMADO"/>
    <tableColumn id="6" xr3:uid="{BD0DC9E8-545C-4FD2-A819-7D871E85B9C5}"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3E6CD88-CD6C-4F9F-A480-713952A1EFEA}" name="Table344" displayName="Table344" ref="A466:F467" totalsRowShown="0">
  <autoFilter ref="A466:F467" xr:uid="{68881DDF-D666-4F4A-898C-73050849909E}"/>
  <tableColumns count="6">
    <tableColumn id="1" xr3:uid="{F66DBFE8-5998-40D7-A04F-4D7F848D095C}" name="CÓDIGO CATÁLOGO"/>
    <tableColumn id="2" xr3:uid="{952014A0-7F38-459C-98DB-B00D366AFCBE}" name="ARTÍCULO">
      <calculatedColumnFormula>IFERROR(INDEX(UNSPSCDes,MATCH(INDIRECT(ADDRESS(ROW(),COLUMN()-1,4)),UNSPSCCode,0)),"")</calculatedColumnFormula>
    </tableColumn>
    <tableColumn id="3" xr3:uid="{1E8D9460-13A4-4846-9385-7532139BC027}" name="UNIDAD DE MEDIDA"/>
    <tableColumn id="4" xr3:uid="{0B14AD07-0F18-47E5-B4BF-0B30A081D15E}" name="CANTIDAD TOTAL ESTIMADA"/>
    <tableColumn id="5" xr3:uid="{DB699549-F4CC-4379-9ACC-FA13DC33E2E2}" name="PRECIO UNITARIO ESTIMADO"/>
    <tableColumn id="6" xr3:uid="{260DDEF3-44E7-4FB8-BDF3-407E78A4298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F748E3C-80FA-4568-A235-C551F3A64FC2}" name="Table345" displayName="Table345" ref="A477:F478" totalsRowShown="0">
  <autoFilter ref="A477:F478" xr:uid="{F8F90D28-C8BA-4F57-A9FF-D1E646CE4112}"/>
  <tableColumns count="6">
    <tableColumn id="1" xr3:uid="{2F398529-B5D7-40CE-82E1-DDBB3811BFD7}" name="CÓDIGO CATÁLOGO"/>
    <tableColumn id="2" xr3:uid="{56EEBA05-6EE5-48CB-9732-75AF94F240A0}" name="ARTÍCULO">
      <calculatedColumnFormula>IFERROR(INDEX(UNSPSCDes,MATCH(INDIRECT(ADDRESS(ROW(),COLUMN()-1,4)),UNSPSCCode,0)),"")</calculatedColumnFormula>
    </tableColumn>
    <tableColumn id="3" xr3:uid="{7FB86321-4E33-48C7-8908-5C63E6F65C6F}" name="UNIDAD DE MEDIDA"/>
    <tableColumn id="4" xr3:uid="{76A2B70A-5DF8-41CF-9CE8-24B990F9B6CE}" name="CANTIDAD TOTAL ESTIMADA"/>
    <tableColumn id="5" xr3:uid="{F70E204D-D7CF-4298-8A48-1A89D0247F3A}" name="PRECIO UNITARIO ESTIMADO"/>
    <tableColumn id="6" xr3:uid="{A6D8D4B9-38FF-4854-A192-C3353C00F98E}"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B424190-C6CE-412F-981E-D777AD2D173D}" name="Table346" displayName="Table346" ref="A488:F489" totalsRowShown="0">
  <autoFilter ref="A488:F489" xr:uid="{0FC71C54-62B2-4962-A202-289672D95D21}"/>
  <tableColumns count="6">
    <tableColumn id="1" xr3:uid="{8D752CF7-74E3-4A4B-A1F0-640A5956003C}" name="CÓDIGO CATÁLOGO"/>
    <tableColumn id="2" xr3:uid="{56CC61C8-0162-4B6B-9C84-97EB8E7D1938}" name="ARTÍCULO">
      <calculatedColumnFormula>IFERROR(INDEX(UNSPSCDes,MATCH(INDIRECT(ADDRESS(ROW(),COLUMN()-1,4)),UNSPSCCode,0)),"")</calculatedColumnFormula>
    </tableColumn>
    <tableColumn id="3" xr3:uid="{0E155294-2E3D-4741-BD1D-7D7FF8606884}" name="UNIDAD DE MEDIDA"/>
    <tableColumn id="4" xr3:uid="{789240B8-5EEB-457D-811F-E220F76FAB6D}" name="CANTIDAD TOTAL ESTIMADA"/>
    <tableColumn id="5" xr3:uid="{B4F301E7-8370-4553-A070-22D514B06FFA}" name="PRECIO UNITARIO ESTIMADO"/>
    <tableColumn id="6" xr3:uid="{18872D79-FCF1-4CE9-82E9-BF810D021612}"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52C5948-2CE4-497D-A587-C1BE330EB467}" name="Table347" displayName="Table347" ref="A499:F500" totalsRowShown="0">
  <autoFilter ref="A499:F500" xr:uid="{119E9C60-D8F1-4B2D-BB80-0CF1297FFC06}"/>
  <tableColumns count="6">
    <tableColumn id="1" xr3:uid="{B853F99E-1884-440A-949F-B0E5FCB0291A}" name="CÓDIGO CATÁLOGO"/>
    <tableColumn id="2" xr3:uid="{9B4B7CBE-7A10-4267-B0FE-7C3D2CD68267}" name="ARTÍCULO">
      <calculatedColumnFormula>IFERROR(INDEX(UNSPSCDes,MATCH(INDIRECT(ADDRESS(ROW(),COLUMN()-1,4)),UNSPSCCode,0)),"")</calculatedColumnFormula>
    </tableColumn>
    <tableColumn id="3" xr3:uid="{B55ACAB7-BCDD-43E6-B280-67F7342B80BB}" name="UNIDAD DE MEDIDA"/>
    <tableColumn id="4" xr3:uid="{0791CB7A-C7EE-4D27-BCA2-259987F9718D}" name="CANTIDAD TOTAL ESTIMADA"/>
    <tableColumn id="5" xr3:uid="{2061EF57-2164-4BF3-B9F8-3644740AB07E}" name="PRECIO UNITARIO ESTIMADO"/>
    <tableColumn id="6" xr3:uid="{D2E227B4-AB14-41BE-9E44-95162A4F2C6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C86555C-CE0F-4A8A-A0BA-68D6133E6121}" name="Table348" displayName="Table348" ref="A510:F511" totalsRowShown="0">
  <autoFilter ref="A510:F511" xr:uid="{BD8BA122-A30E-416E-BE59-155E041284F0}"/>
  <tableColumns count="6">
    <tableColumn id="1" xr3:uid="{3C9E7A04-3304-4EEE-8A04-5A01C23EA434}" name="CÓDIGO CATÁLOGO"/>
    <tableColumn id="2" xr3:uid="{D7C61559-F0BF-48BF-B63F-7998C050887D}" name="ARTÍCULO">
      <calculatedColumnFormula>IFERROR(INDEX(UNSPSCDes,MATCH(INDIRECT(ADDRESS(ROW(),COLUMN()-1,4)),UNSPSCCode,0)),"")</calculatedColumnFormula>
    </tableColumn>
    <tableColumn id="3" xr3:uid="{20A17F09-5078-4E15-AD44-86A0E690FD8C}" name="UNIDAD DE MEDIDA"/>
    <tableColumn id="4" xr3:uid="{7B3E9E30-DB2B-470D-9F78-5A5D5EC41F50}" name="CANTIDAD TOTAL ESTIMADA"/>
    <tableColumn id="5" xr3:uid="{09404E84-81B5-4524-8F3B-884E0A449516}" name="PRECIO UNITARIO ESTIMADO"/>
    <tableColumn id="6" xr3:uid="{44EA28C4-55C0-4452-AB25-C6F81B8AC5B1}"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C63C55-57CE-423A-8321-C91289654E0D}" name="Table349" displayName="Table349" ref="A521:F522" totalsRowShown="0">
  <autoFilter ref="A521:F522" xr:uid="{F9F0C228-98FC-4E06-92A4-6ED0EB8ED171}"/>
  <tableColumns count="6">
    <tableColumn id="1" xr3:uid="{140FD076-76B7-4BCB-BC18-331050ECDAEB}" name="CÓDIGO CATÁLOGO"/>
    <tableColumn id="2" xr3:uid="{A46EEA83-EA16-491C-933C-4F0BE53C0966}" name="ARTÍCULO">
      <calculatedColumnFormula>IFERROR(INDEX(UNSPSCDes,MATCH(INDIRECT(ADDRESS(ROW(),COLUMN()-1,4)),UNSPSCCode,0)),"")</calculatedColumnFormula>
    </tableColumn>
    <tableColumn id="3" xr3:uid="{696552A4-93A5-4946-905F-E27ED06C3C67}" name="UNIDAD DE MEDIDA"/>
    <tableColumn id="4" xr3:uid="{409756E9-BF0D-4A3F-BCAE-C8FA93810C44}" name="CANTIDAD TOTAL ESTIMADA"/>
    <tableColumn id="5" xr3:uid="{E2F03E95-1234-4DBC-B365-BADB461440DE}" name="PRECIO UNITARIO ESTIMADO"/>
    <tableColumn id="6" xr3:uid="{3B33B206-DB9B-4142-A1FF-9ED5DE3654C4}"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736D0F4-3752-410E-8B40-9213348EA044}" name="Table350" displayName="Table350" ref="A532:F533" totalsRowShown="0">
  <autoFilter ref="A532:F533" xr:uid="{06D5F124-F305-442D-ABD6-4311D3580474}"/>
  <tableColumns count="6">
    <tableColumn id="1" xr3:uid="{86545791-B308-4044-9CC7-D119FCE7DED3}" name="CÓDIGO CATÁLOGO"/>
    <tableColumn id="2" xr3:uid="{8593764A-9866-4A51-9B31-7349610B87D0}" name="ARTÍCULO">
      <calculatedColumnFormula>IFERROR(INDEX(UNSPSCDes,MATCH(INDIRECT(ADDRESS(ROW(),COLUMN()-1,4)),UNSPSCCode,0)),"")</calculatedColumnFormula>
    </tableColumn>
    <tableColumn id="3" xr3:uid="{690D6A58-D4C1-49D3-B2B1-64B4909451D7}" name="UNIDAD DE MEDIDA"/>
    <tableColumn id="4" xr3:uid="{27334E4E-98B3-4039-9333-DCB012173E80}" name="CANTIDAD TOTAL ESTIMADA"/>
    <tableColumn id="5" xr3:uid="{4AE8B127-5F7D-4318-900A-AC2FA32E0ED1}" name="PRECIO UNITARIO ESTIMADO"/>
    <tableColumn id="6" xr3:uid="{20BEACDD-7FE3-4FBD-BB7F-11B3422B9315}"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8CE5A8B-62AC-41F9-883D-09F44B879121}" name="Table351" displayName="Table351" ref="A543:F544" totalsRowShown="0">
  <autoFilter ref="A543:F544" xr:uid="{98137286-5D52-4462-BBE4-373D8263D9CE}"/>
  <tableColumns count="6">
    <tableColumn id="1" xr3:uid="{D3DAC51B-C84B-4259-97B8-D3E2F5495434}" name="CÓDIGO CATÁLOGO"/>
    <tableColumn id="2" xr3:uid="{E28CDE50-49C0-4B40-B9A8-EDCD4138D0F6}" name="ARTÍCULO">
      <calculatedColumnFormula>IFERROR(INDEX(UNSPSCDes,MATCH(INDIRECT(ADDRESS(ROW(),COLUMN()-1,4)),UNSPSCCode,0)),"")</calculatedColumnFormula>
    </tableColumn>
    <tableColumn id="3" xr3:uid="{B05AA6AA-E309-427D-8A9A-54FB891D49F2}" name="UNIDAD DE MEDIDA"/>
    <tableColumn id="4" xr3:uid="{EA37F9E6-68FD-400F-B633-1E60C15A3067}" name="CANTIDAD TOTAL ESTIMADA"/>
    <tableColumn id="5" xr3:uid="{9B6EE04D-A4B4-4D77-85B6-90B97E3D8411}" name="PRECIO UNITARIO ESTIMADO"/>
    <tableColumn id="6" xr3:uid="{DB33D0C7-1A81-4A07-B3D8-23B747335E59}"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14266AE-87DF-4AD6-B08C-355EFCFB41DC}" name="Table352" displayName="Table352" ref="A554:F555" totalsRowShown="0">
  <autoFilter ref="A554:F555" xr:uid="{DEC8BF2A-FDD6-4000-96A7-32FE04EB3CF7}"/>
  <tableColumns count="6">
    <tableColumn id="1" xr3:uid="{2D114EB3-5915-41D3-AFD5-10F29D8E8BF3}" name="CÓDIGO CATÁLOGO"/>
    <tableColumn id="2" xr3:uid="{942243BB-C3AA-43F3-B204-4EBEA1A9D9B9}" name="ARTÍCULO">
      <calculatedColumnFormula>IFERROR(INDEX(UNSPSCDes,MATCH(INDIRECT(ADDRESS(ROW(),COLUMN()-1,4)),UNSPSCCode,0)),"")</calculatedColumnFormula>
    </tableColumn>
    <tableColumn id="3" xr3:uid="{C0A5CACE-92ED-4999-A592-6A75565FFDEF}" name="UNIDAD DE MEDIDA"/>
    <tableColumn id="4" xr3:uid="{6D0450A3-EDFF-462D-AD31-51A580B040D0}" name="CANTIDAD TOTAL ESTIMADA"/>
    <tableColumn id="5" xr3:uid="{64CEC514-A7BD-4E87-8381-3CF7DA0582D8}" name="PRECIO UNITARIO ESTIMADO"/>
    <tableColumn id="6" xr3:uid="{4C7B2566-CA28-403C-9FE3-0E59F63477D2}"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5913668-9A48-42D5-8ED7-B683CD6CF09A}" name="Table353" displayName="Table353" ref="A565:F566" totalsRowShown="0">
  <autoFilter ref="A565:F566" xr:uid="{52E1F503-9C23-461C-9048-30EAD1A6113D}"/>
  <tableColumns count="6">
    <tableColumn id="1" xr3:uid="{A8D6696A-6183-4694-8A40-E4AC9C4CD895}" name="CÓDIGO CATÁLOGO"/>
    <tableColumn id="2" xr3:uid="{A77AEF02-B6CA-4C0E-A2F6-4F99C395F40F}" name="ARTÍCULO">
      <calculatedColumnFormula>IFERROR(INDEX(UNSPSCDes,MATCH(INDIRECT(ADDRESS(ROW(),COLUMN()-1,4)),UNSPSCCode,0)),"")</calculatedColumnFormula>
    </tableColumn>
    <tableColumn id="3" xr3:uid="{136C6B9F-07DB-4AFD-8141-8418CCCACD8C}" name="UNIDAD DE MEDIDA"/>
    <tableColumn id="4" xr3:uid="{AE070AB0-BC05-4276-9322-6EE0CA1A4770}" name="CANTIDAD TOTAL ESTIMADA"/>
    <tableColumn id="5" xr3:uid="{A7A49E20-65E6-4A14-A88E-A9C6B9DC77C8}" name="PRECIO UNITARIO ESTIMADO"/>
    <tableColumn id="6" xr3:uid="{4F9CFAD0-4DF2-42C9-AFA1-43B5BB7FC304}"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D02CDAB-8DB7-48BE-BB83-35D1A8393C59}" name="Table37" displayName="Table37" ref="A67:F68" totalsRowShown="0">
  <autoFilter ref="A67:F68" xr:uid="{D36FECDF-1FD3-42C4-B312-D5C4FED407DA}"/>
  <tableColumns count="6">
    <tableColumn id="1" xr3:uid="{44AB38FF-E141-4134-AD9C-3545B2B2AEA2}" name="CÓDIGO CATÁLOGO"/>
    <tableColumn id="2" xr3:uid="{B02F153A-891E-440E-AFE3-29B39669BAB2}" name="ARTÍCULO">
      <calculatedColumnFormula>IFERROR(INDEX(UNSPSCDes,MATCH(INDIRECT(ADDRESS(ROW(),COLUMN()-1,4)),UNSPSCCode,0)),"")</calculatedColumnFormula>
    </tableColumn>
    <tableColumn id="3" xr3:uid="{B6766033-5D43-44F9-87F6-3050BAA93CB6}" name="UNIDAD DE MEDIDA"/>
    <tableColumn id="4" xr3:uid="{D2B296C5-D7AE-4954-9929-CD3C197C32E4}" name="CANTIDAD TOTAL ESTIMADA"/>
    <tableColumn id="5" xr3:uid="{6C15D6FA-734D-4198-8646-7B73E899DCBF}" name="PRECIO UNITARIO ESTIMADO"/>
    <tableColumn id="6" xr3:uid="{A783F118-3699-4B81-AC12-4B63D0DB6B64}"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CEC6AFE-806A-4179-9958-432B4DC8C341}" name="Table354" displayName="Table354" ref="A576:F577" totalsRowShown="0">
  <autoFilter ref="A576:F577" xr:uid="{3749CB59-9980-4AC0-A7E7-25AF99C34A8F}"/>
  <tableColumns count="6">
    <tableColumn id="1" xr3:uid="{CEAB4F52-A483-4364-B796-489AE7A92024}" name="CÓDIGO CATÁLOGO"/>
    <tableColumn id="2" xr3:uid="{A62CB220-FB13-44D1-8017-752A46435FC1}" name="ARTÍCULO">
      <calculatedColumnFormula>IFERROR(INDEX(UNSPSCDes,MATCH(INDIRECT(ADDRESS(ROW(),COLUMN()-1,4)),UNSPSCCode,0)),"")</calculatedColumnFormula>
    </tableColumn>
    <tableColumn id="3" xr3:uid="{B3553639-3C64-455E-A74B-5F3A508FC22F}" name="UNIDAD DE MEDIDA"/>
    <tableColumn id="4" xr3:uid="{897E1457-F730-40F7-B851-0F1D2DC65C9D}" name="CANTIDAD TOTAL ESTIMADA"/>
    <tableColumn id="5" xr3:uid="{CB6B0CB6-7B38-4CC3-B835-82399A3A514E}" name="PRECIO UNITARIO ESTIMADO"/>
    <tableColumn id="6" xr3:uid="{17AAE1D5-A9C2-4606-B513-1977C21B77F2}"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6ACF84-9218-4933-BB1C-BF417C26379E}" name="Table355" displayName="Table355" ref="A587:F588" totalsRowShown="0">
  <autoFilter ref="A587:F588" xr:uid="{5F4B7DBF-F636-4EF5-ACD2-7001BDC23813}"/>
  <tableColumns count="6">
    <tableColumn id="1" xr3:uid="{9116495A-9969-42BA-8BA9-52D41BB079B6}" name="CÓDIGO CATÁLOGO"/>
    <tableColumn id="2" xr3:uid="{FA95EC7D-AAB7-4342-9AF0-1C1DDDC8F634}" name="ARTÍCULO">
      <calculatedColumnFormula>IFERROR(INDEX(UNSPSCDes,MATCH(INDIRECT(ADDRESS(ROW(),COLUMN()-1,4)),UNSPSCCode,0)),"")</calculatedColumnFormula>
    </tableColumn>
    <tableColumn id="3" xr3:uid="{959E686A-C44A-4D54-A0B6-7C7435F50642}" name="UNIDAD DE MEDIDA"/>
    <tableColumn id="4" xr3:uid="{CC47C3E4-EB9F-47B7-BB14-FDDF5B8343B5}" name="CANTIDAD TOTAL ESTIMADA"/>
    <tableColumn id="5" xr3:uid="{D36F913A-AEA6-44BA-9011-D8EE8D79A03B}" name="PRECIO UNITARIO ESTIMADO"/>
    <tableColumn id="6" xr3:uid="{8D811D71-7F2E-4EB5-A676-EC8026589BE5}"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ACF17C4-BC01-4E78-996E-D096D2415948}" name="Table356" displayName="Table356" ref="A598:F600" totalsRowShown="0">
  <autoFilter ref="A598:F600" xr:uid="{AB5D6A40-1F8E-4CEC-92B2-CD63F07A1B5C}"/>
  <tableColumns count="6">
    <tableColumn id="1" xr3:uid="{67560CCE-F08F-4244-9404-B23E5AEDFDED}" name="CÓDIGO CATÁLOGO"/>
    <tableColumn id="2" xr3:uid="{A2E35265-EE14-4F72-80B3-B8C03E68A4DE}" name="ARTÍCULO">
      <calculatedColumnFormula>IFERROR(INDEX(UNSPSCDes,MATCH(INDIRECT(ADDRESS(ROW(),COLUMN()-1,4)),UNSPSCCode,0)),"")</calculatedColumnFormula>
    </tableColumn>
    <tableColumn id="3" xr3:uid="{EB8D77C3-94E7-4101-A8FA-3DCFB2FE6393}" name="UNIDAD DE MEDIDA"/>
    <tableColumn id="4" xr3:uid="{0ACF7E2E-E7C0-42BB-AE78-4D0E8A7E375D}" name="CANTIDAD TOTAL ESTIMADA"/>
    <tableColumn id="5" xr3:uid="{9FC73132-B1CE-4671-89CB-7240B748A269}" name="PRECIO UNITARIO ESTIMADO"/>
    <tableColumn id="6" xr3:uid="{B65A4C50-959C-4C92-B8BA-95C6AFBF11FB}"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6F9D8593-77A8-4E24-A48A-72CB7D8BEB47}" name="Table357" displayName="Table357" ref="A610:F612" totalsRowShown="0">
  <autoFilter ref="A610:F612" xr:uid="{6DEBCE19-6B4D-44B8-BCB6-5463E1875E18}"/>
  <tableColumns count="6">
    <tableColumn id="1" xr3:uid="{DB7D02A4-0685-44F6-BD79-FE676BF4668E}" name="CÓDIGO CATÁLOGO"/>
    <tableColumn id="2" xr3:uid="{1E9A0575-83BE-45C9-8C41-24FFFDDBB213}" name="ARTÍCULO">
      <calculatedColumnFormula>IFERROR(INDEX(UNSPSCDes,MATCH(INDIRECT(ADDRESS(ROW(),COLUMN()-1,4)),UNSPSCCode,0)),"")</calculatedColumnFormula>
    </tableColumn>
    <tableColumn id="3" xr3:uid="{BBE48901-F51D-4268-997E-D5969F014490}" name="UNIDAD DE MEDIDA"/>
    <tableColumn id="4" xr3:uid="{085F325D-5F0B-4A84-9065-DD6006052256}" name="CANTIDAD TOTAL ESTIMADA"/>
    <tableColumn id="5" xr3:uid="{F329B1E1-64F1-4954-A1E3-ADC691374AAA}" name="PRECIO UNITARIO ESTIMADO"/>
    <tableColumn id="6" xr3:uid="{E4C4E75B-751F-4378-A8AF-8BC25EEB0D32}"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78F9810-F654-4220-8258-9C3E0626B33F}" name="Table358" displayName="Table358" ref="A622:F624" totalsRowShown="0">
  <autoFilter ref="A622:F624" xr:uid="{B4C60391-4D99-4DE7-A442-E6B1B425642C}"/>
  <tableColumns count="6">
    <tableColumn id="1" xr3:uid="{27E35CA8-084A-459E-88D3-DCAEC6EFD975}" name="CÓDIGO CATÁLOGO"/>
    <tableColumn id="2" xr3:uid="{4D5F95B0-E53F-4844-9D1A-80B844D871A5}" name="ARTÍCULO">
      <calculatedColumnFormula>IFERROR(INDEX(UNSPSCDes,MATCH(INDIRECT(ADDRESS(ROW(),COLUMN()-1,4)),UNSPSCCode,0)),"")</calculatedColumnFormula>
    </tableColumn>
    <tableColumn id="3" xr3:uid="{DB07FDB4-6D21-495E-809F-2FB4DFEB62F4}" name="UNIDAD DE MEDIDA"/>
    <tableColumn id="4" xr3:uid="{8950C130-9970-475B-AE9F-7E5CE8267E20}" name="CANTIDAD TOTAL ESTIMADA"/>
    <tableColumn id="5" xr3:uid="{7FFA1A5D-5F9D-45DC-A41A-0232D37F3FD5}" name="PRECIO UNITARIO ESTIMADO"/>
    <tableColumn id="6" xr3:uid="{619863B3-BCBA-4CFD-A146-6EC0BCFBBA2E}"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4C2FCD1-68EB-4772-AFDA-86A02990B91F}" name="Table359" displayName="Table359" ref="A634:F636" totalsRowShown="0">
  <autoFilter ref="A634:F636" xr:uid="{B24C23CA-5BCA-4E46-8A54-FB6BF7DE669B}"/>
  <tableColumns count="6">
    <tableColumn id="1" xr3:uid="{B9CABDC3-72F1-4DBA-BFE8-959F1A8C1F37}" name="CÓDIGO CATÁLOGO"/>
    <tableColumn id="2" xr3:uid="{C8054D66-1323-4306-A6F4-476B9321E189}" name="ARTÍCULO">
      <calculatedColumnFormula>IFERROR(INDEX(UNSPSCDes,MATCH(INDIRECT(ADDRESS(ROW(),COLUMN()-1,4)),UNSPSCCode,0)),"")</calculatedColumnFormula>
    </tableColumn>
    <tableColumn id="3" xr3:uid="{C56C794F-5340-4ABC-81A3-689D00B7A4E4}" name="UNIDAD DE MEDIDA"/>
    <tableColumn id="4" xr3:uid="{38AB0E21-1E8E-4C63-B6EA-5EB9985FDCA6}" name="CANTIDAD TOTAL ESTIMADA"/>
    <tableColumn id="5" xr3:uid="{31A547BD-D40C-441D-821D-50E7044A5C42}" name="PRECIO UNITARIO ESTIMADO"/>
    <tableColumn id="6" xr3:uid="{422E5F25-2AE3-4FB0-A0F8-5D4365935A12}"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90F1766-1A34-45E8-9ABD-51E0C33D65C3}" name="Table360" displayName="Table360" ref="A646:F647" totalsRowShown="0">
  <autoFilter ref="A646:F647" xr:uid="{068085F4-D679-4B90-B696-4AB20837F516}"/>
  <tableColumns count="6">
    <tableColumn id="1" xr3:uid="{5506C2DA-C41F-4AA4-967C-EA3F661243D7}" name="CÓDIGO CATÁLOGO" dataDxfId="79" dataCellStyle="ArticleBody"/>
    <tableColumn id="2" xr3:uid="{178033F5-D65B-4B76-9807-8AB3806D096C}" name="ARTÍCULO">
      <calculatedColumnFormula>IFERROR(INDEX(UNSPSCDes,MATCH(INDIRECT(ADDRESS(ROW(),COLUMN()-1,4)),UNSPSCCode,0)),"")</calculatedColumnFormula>
    </tableColumn>
    <tableColumn id="3" xr3:uid="{0D147E36-350C-46C2-97FE-BB8C4B47A169}" name="UNIDAD DE MEDIDA"/>
    <tableColumn id="4" xr3:uid="{9A2B3CCD-C780-46B7-8ED8-0C7ADBC471E2}" name="CANTIDAD TOTAL ESTIMADA"/>
    <tableColumn id="5" xr3:uid="{B8B1BC08-7EB5-4081-9541-C6146CDA85D3}" name="PRECIO UNITARIO ESTIMADO"/>
    <tableColumn id="6" xr3:uid="{19AAABBF-648F-4917-9C25-9E2DA74C7FFE}"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A2C28A7-4F6B-4A7C-9A5A-4BE563DE3BAC}" name="Table361" displayName="Table361" ref="A657:F658" totalsRowShown="0">
  <autoFilter ref="A657:F658" xr:uid="{E3239DE5-A4E2-42F7-9157-D06AE44C9026}"/>
  <tableColumns count="6">
    <tableColumn id="1" xr3:uid="{3C02E3CB-D042-4463-A054-476516DBF874}" name="CÓDIGO CATÁLOGO" dataDxfId="78" dataCellStyle="ArticleBody"/>
    <tableColumn id="2" xr3:uid="{3FD589EA-7E57-41D1-BCFE-D409CFC5B77D}" name="ARTÍCULO">
      <calculatedColumnFormula>IFERROR(INDEX(UNSPSCDes,MATCH(INDIRECT(ADDRESS(ROW(),COLUMN()-1,4)),UNSPSCCode,0)),"")</calculatedColumnFormula>
    </tableColumn>
    <tableColumn id="3" xr3:uid="{2AF3E6B6-48AC-46A1-8568-8EDBE6A190A4}" name="UNIDAD DE MEDIDA"/>
    <tableColumn id="4" xr3:uid="{2D3F92F5-CB3C-4274-8C27-387C1D09839D}" name="CANTIDAD TOTAL ESTIMADA"/>
    <tableColumn id="5" xr3:uid="{4305050F-D216-4E37-8C9F-DC5293B27C17}" name="PRECIO UNITARIO ESTIMADO"/>
    <tableColumn id="6" xr3:uid="{02DF697C-4316-472D-8E2C-FB2F30485FB1}"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8E45A2A4-BB6F-4665-9B47-E06362D6BC9D}" name="Table362" displayName="Table362" ref="A668:F669" totalsRowShown="0">
  <autoFilter ref="A668:F669" xr:uid="{325F3F64-0329-42E2-A324-ED41ED5576CA}"/>
  <tableColumns count="6">
    <tableColumn id="1" xr3:uid="{3378FBEA-37DA-4A98-A6E7-CF05ED50DC53}" name="CÓDIGO CATÁLOGO" dataDxfId="77" dataCellStyle="ArticleBody"/>
    <tableColumn id="2" xr3:uid="{418EB180-43FC-4BD7-ACE2-F1BB21EE02EA}" name="ARTÍCULO">
      <calculatedColumnFormula>IFERROR(INDEX(UNSPSCDes,MATCH(INDIRECT(ADDRESS(ROW(),COLUMN()-1,4)),UNSPSCCode,0)),"")</calculatedColumnFormula>
    </tableColumn>
    <tableColumn id="3" xr3:uid="{77621035-1DE7-4C05-AA14-86E07132E0A8}" name="UNIDAD DE MEDIDA"/>
    <tableColumn id="4" xr3:uid="{1CD9CF40-D0F9-4814-8E33-7AA943031259}" name="CANTIDAD TOTAL ESTIMADA"/>
    <tableColumn id="5" xr3:uid="{03303ADD-395C-4395-9203-98C300A3B30D}" name="PRECIO UNITARIO ESTIMADO"/>
    <tableColumn id="6" xr3:uid="{83591E39-DDF4-4DA8-B3AD-88D1742B5F6E}"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10D2B7E-FF20-4706-AF3E-3C891B3F5ECF}" name="Table363" displayName="Table363" ref="A679:F680" totalsRowShown="0">
  <autoFilter ref="A679:F680" xr:uid="{A81CC492-154B-4785-9414-F036FEFB7D2B}"/>
  <tableColumns count="6">
    <tableColumn id="1" xr3:uid="{6BEF5E63-0FC4-498D-91BA-C80D003DE198}" name="CÓDIGO CATÁLOGO" dataDxfId="76" dataCellStyle="ArticleBody"/>
    <tableColumn id="2" xr3:uid="{5D15E4AC-62CE-417A-8A5D-E058E7CDD591}" name="ARTÍCULO">
      <calculatedColumnFormula>IFERROR(INDEX(UNSPSCDes,MATCH(INDIRECT(ADDRESS(ROW(),COLUMN()-1,4)),UNSPSCCode,0)),"")</calculatedColumnFormula>
    </tableColumn>
    <tableColumn id="3" xr3:uid="{26997654-BD15-4A97-974B-41AC37D06211}" name="UNIDAD DE MEDIDA"/>
    <tableColumn id="4" xr3:uid="{86940867-0AE1-46B1-BEB8-57030621F78E}" name="CANTIDAD TOTAL ESTIMADA"/>
    <tableColumn id="5" xr3:uid="{F6FF60A0-7B0E-48F1-B22A-13E124FFF237}" name="PRECIO UNITARIO ESTIMADO"/>
    <tableColumn id="6" xr3:uid="{344C0999-DB05-4BDE-9351-B9A1EEDCF1D4}"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74384C6-4677-48DB-A23B-0DC0F8C35B25}" name="Table38" displayName="Table38" ref="A78:F81" totalsRowShown="0">
  <autoFilter ref="A78:F81" xr:uid="{7E623169-CF2D-4475-8785-C16D5A128694}"/>
  <tableColumns count="6">
    <tableColumn id="1" xr3:uid="{739E2776-9915-4EC7-834B-790B57D56D56}" name="CÓDIGO CATÁLOGO"/>
    <tableColumn id="2" xr3:uid="{65E608F0-164A-4C18-B79A-D0C3360A408B}" name="ARTÍCULO">
      <calculatedColumnFormula>IFERROR(INDEX(UNSPSCDes,MATCH(INDIRECT(ADDRESS(ROW(),COLUMN()-1,4)),UNSPSCCode,0)),"")</calculatedColumnFormula>
    </tableColumn>
    <tableColumn id="3" xr3:uid="{E7633431-8E67-44E8-8994-0CA1036B3DF3}" name="UNIDAD DE MEDIDA"/>
    <tableColumn id="4" xr3:uid="{09EEB8E9-9AB4-498B-8E05-1EF0F4F29784}" name="CANTIDAD TOTAL ESTIMADA"/>
    <tableColumn id="5" xr3:uid="{3B3ACEBC-700D-4D7B-A114-8BF6DA3B7AA8}" name="PRECIO UNITARIO ESTIMADO"/>
    <tableColumn id="6" xr3:uid="{390C68D2-6EE5-4D81-ADA7-A48D86910127}"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26C97D1-4016-4CAC-AF47-BED57D73C2AD}" name="Table364" displayName="Table364" ref="A690:F691" totalsRowShown="0">
  <autoFilter ref="A690:F691" xr:uid="{ACFE11D1-50DA-4586-9E4A-133491C5BAEC}"/>
  <tableColumns count="6">
    <tableColumn id="1" xr3:uid="{36C7BABF-C986-4DF7-BE33-121D44A1F5DB}" name="CÓDIGO CATÁLOGO" dataDxfId="75" dataCellStyle="ArticleBody"/>
    <tableColumn id="2" xr3:uid="{D4C33009-084C-4306-B9E2-533E8924B5A1}" name="ARTÍCULO">
      <calculatedColumnFormula>IFERROR(INDEX(UNSPSCDes,MATCH(INDIRECT(ADDRESS(ROW(),COLUMN()-1,4)),UNSPSCCode,0)),"")</calculatedColumnFormula>
    </tableColumn>
    <tableColumn id="3" xr3:uid="{B1B2C8E0-779D-4DA1-BC4A-894FF0664C1D}" name="UNIDAD DE MEDIDA"/>
    <tableColumn id="4" xr3:uid="{A9E42CEC-6842-455A-A515-80482431126F}" name="CANTIDAD TOTAL ESTIMADA"/>
    <tableColumn id="5" xr3:uid="{EC9A0B4E-CC9B-4D73-BB74-D49C904F04CD}" name="PRECIO UNITARIO ESTIMADO"/>
    <tableColumn id="6" xr3:uid="{8ED1B28F-4DC5-4B49-AF0B-454433FCDC8B}"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C1764E23-5CA1-434F-A6D6-ABF8E1C849D3}" name="Table365" displayName="Table365" ref="A701:F702" totalsRowShown="0">
  <autoFilter ref="A701:F702" xr:uid="{E71AA4B2-E57B-48FB-9817-86A474CAB4A7}"/>
  <tableColumns count="6">
    <tableColumn id="1" xr3:uid="{9BA79734-1A3B-4261-A584-0B1B38913F43}" name="CÓDIGO CATÁLOGO" dataDxfId="74" dataCellStyle="ArticleBody"/>
    <tableColumn id="2" xr3:uid="{C057B205-CC8C-4609-9614-D99170DC5488}" name="ARTÍCULO">
      <calculatedColumnFormula>IFERROR(INDEX(UNSPSCDes,MATCH(INDIRECT(ADDRESS(ROW(),COLUMN()-1,4)),UNSPSCCode,0)),"")</calculatedColumnFormula>
    </tableColumn>
    <tableColumn id="3" xr3:uid="{38A8A22C-8C31-4E62-ACF4-B889F6EE054F}" name="UNIDAD DE MEDIDA"/>
    <tableColumn id="4" xr3:uid="{878A445C-574A-4CDA-8508-B9223C010CAE}" name="CANTIDAD TOTAL ESTIMADA"/>
    <tableColumn id="5" xr3:uid="{D0B367F4-4F36-4BCE-A06D-472C605671A3}" name="PRECIO UNITARIO ESTIMADO"/>
    <tableColumn id="6" xr3:uid="{9099CEB5-D850-41A6-8727-0EBF8C456ED7}"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2F03B19-0723-4511-AAE4-C74342E79842}" name="Table366" displayName="Table366" ref="A712:F713" totalsRowShown="0">
  <autoFilter ref="A712:F713" xr:uid="{5EA07B40-6B3C-4DBA-8128-29E517C315E5}"/>
  <tableColumns count="6">
    <tableColumn id="1" xr3:uid="{9A946413-22C7-4226-BABC-73737356B9F6}" name="CÓDIGO CATÁLOGO" dataDxfId="73" dataCellStyle="ArticleBody"/>
    <tableColumn id="2" xr3:uid="{1B186537-1551-404E-8013-F245A7873DD1}" name="ARTÍCULO">
      <calculatedColumnFormula>IFERROR(INDEX(UNSPSCDes,MATCH(INDIRECT(ADDRESS(ROW(),COLUMN()-1,4)),UNSPSCCode,0)),"")</calculatedColumnFormula>
    </tableColumn>
    <tableColumn id="3" xr3:uid="{B63A0410-71AF-4A57-9FA4-180BC0640266}" name="UNIDAD DE MEDIDA"/>
    <tableColumn id="4" xr3:uid="{9F952D9D-19E6-401A-8723-D8399884CAF9}" name="CANTIDAD TOTAL ESTIMADA"/>
    <tableColumn id="5" xr3:uid="{ED9CBEA3-AA64-4E14-B559-069DF5ED81E2}" name="PRECIO UNITARIO ESTIMADO"/>
    <tableColumn id="6" xr3:uid="{994628E7-1EAE-4B2B-9B79-DA3BD4D37AB5}"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86A29D5-1F93-44C6-ABC3-952BFBBDBDD4}" name="Table367" displayName="Table367" ref="A723:F724" totalsRowShown="0">
  <autoFilter ref="A723:F724" xr:uid="{4EB4C40F-C2F9-464F-9895-67A6DB762829}"/>
  <tableColumns count="6">
    <tableColumn id="1" xr3:uid="{96B10504-1B78-405A-B4E1-987411770FE5}" name="CÓDIGO CATÁLOGO" dataDxfId="72" dataCellStyle="ArticleBody"/>
    <tableColumn id="2" xr3:uid="{E1EE6FA3-4391-447D-8326-D333FD753F6E}" name="ARTÍCULO">
      <calculatedColumnFormula>IFERROR(INDEX(UNSPSCDes,MATCH(INDIRECT(ADDRESS(ROW(),COLUMN()-1,4)),UNSPSCCode,0)),"")</calculatedColumnFormula>
    </tableColumn>
    <tableColumn id="3" xr3:uid="{3A89A625-7051-40AD-9A1D-D2B5F8A50C4C}" name="UNIDAD DE MEDIDA"/>
    <tableColumn id="4" xr3:uid="{2C85820F-72DD-40B9-BC55-D7FB3753F34E}" name="CANTIDAD TOTAL ESTIMADA"/>
    <tableColumn id="5" xr3:uid="{D77D1BFC-425E-4BEE-8B20-34438146B19B}" name="PRECIO UNITARIO ESTIMADO"/>
    <tableColumn id="6" xr3:uid="{531162F9-553F-47B0-9883-21729917B835}"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8809CBB-4807-44BD-A05F-0593BC06781B}" name="Table368" displayName="Table368" ref="A734:F735" totalsRowShown="0">
  <autoFilter ref="A734:F735" xr:uid="{14ED1CA6-74D7-455A-ADEE-76C4184071C4}"/>
  <tableColumns count="6">
    <tableColumn id="1" xr3:uid="{37ACAA46-8FE2-478A-A93B-AA129EC7A584}" name="CÓDIGO CATÁLOGO" dataDxfId="71" dataCellStyle="ArticleBody"/>
    <tableColumn id="2" xr3:uid="{729D2842-EF16-487B-A223-C73BC21E8D39}" name="ARTÍCULO">
      <calculatedColumnFormula>IFERROR(INDEX(UNSPSCDes,MATCH(INDIRECT(ADDRESS(ROW(),COLUMN()-1,4)),UNSPSCCode,0)),"")</calculatedColumnFormula>
    </tableColumn>
    <tableColumn id="3" xr3:uid="{FB6E4D40-E4B0-40D6-818B-1B95F090E550}" name="UNIDAD DE MEDIDA"/>
    <tableColumn id="4" xr3:uid="{6716C099-5CE6-4A52-8385-5C76DF80372E}" name="CANTIDAD TOTAL ESTIMADA"/>
    <tableColumn id="5" xr3:uid="{F186516E-0F6E-4A3D-A52E-F5BA7CA215FC}" name="PRECIO UNITARIO ESTIMADO"/>
    <tableColumn id="6" xr3:uid="{1C47A8B0-71D2-402E-8363-324757683657}"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0EE8449-D6F0-4708-8EB3-E59FDE80F190}" name="Table369" displayName="Table369" ref="A745:F748" totalsRowShown="0">
  <autoFilter ref="A745:F748" xr:uid="{1D6E5D8C-337A-4FD3-899C-FD1DA99AF9A8}"/>
  <tableColumns count="6">
    <tableColumn id="1" xr3:uid="{78DA46CB-53EC-4B34-A8ED-05F2D3C81D7D}" name="CÓDIGO CATÁLOGO"/>
    <tableColumn id="2" xr3:uid="{3F121FCC-27BC-454B-8A6A-9E4CE0F11EE0}" name="ARTÍCULO">
      <calculatedColumnFormula>IFERROR(INDEX(UNSPSCDes,MATCH(INDIRECT(ADDRESS(ROW(),COLUMN()-1,4)),UNSPSCCode,0)),"")</calculatedColumnFormula>
    </tableColumn>
    <tableColumn id="3" xr3:uid="{72B2B125-5C0C-4001-A8C1-7CE245767E8C}" name="UNIDAD DE MEDIDA"/>
    <tableColumn id="4" xr3:uid="{2904E56E-8362-4F3D-8A06-CC2AAAE67ED0}" name="CANTIDAD TOTAL ESTIMADA"/>
    <tableColumn id="5" xr3:uid="{ED0346BE-75CB-4168-AA92-EAD5EF082A1F}" name="PRECIO UNITARIO ESTIMADO"/>
    <tableColumn id="6" xr3:uid="{C567F79C-1399-4917-86E4-BEC169832489}"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77E92F8-1DED-4DBF-B3FD-B0DCF457D5BE}" name="Table370" displayName="Table370" ref="A758:F760" totalsRowShown="0">
  <autoFilter ref="A758:F760" xr:uid="{97C5B8A3-4B23-4F3A-B0FE-802D497642ED}"/>
  <tableColumns count="6">
    <tableColumn id="1" xr3:uid="{539A2061-F927-449B-A4AC-E95EECCC0A06}" name="CÓDIGO CATÁLOGO"/>
    <tableColumn id="2" xr3:uid="{0E06AA94-0F8B-41C5-B2DD-AE6CCC471E5A}" name="ARTÍCULO">
      <calculatedColumnFormula>IFERROR(INDEX(UNSPSCDes,MATCH(INDIRECT(ADDRESS(ROW(),COLUMN()-1,4)),UNSPSCCode,0)),"")</calculatedColumnFormula>
    </tableColumn>
    <tableColumn id="3" xr3:uid="{35A78B14-03A2-45FF-B623-B2EC592A2394}" name="UNIDAD DE MEDIDA"/>
    <tableColumn id="4" xr3:uid="{4988396D-33BC-46AF-84C9-1383B72F8AFA}" name="CANTIDAD TOTAL ESTIMADA"/>
    <tableColumn id="5" xr3:uid="{6431EE7D-64F9-4525-ACF1-0B315BBBB745}" name="PRECIO UNITARIO ESTIMADO"/>
    <tableColumn id="6" xr3:uid="{AD19515D-7294-4384-BF0F-B52A953B7D74}"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B9D4DAE-F9C0-42A3-BE0A-8D5BD28A9C2E}" name="Table371" displayName="Table371" ref="A770:F772" totalsRowShown="0">
  <autoFilter ref="A770:F772" xr:uid="{1694328D-216B-47D4-8187-0DD3B8874652}"/>
  <tableColumns count="6">
    <tableColumn id="1" xr3:uid="{1E3BD8A0-D8BD-45EB-B19F-C8228F2414BC}" name="CÓDIGO CATÁLOGO"/>
    <tableColumn id="2" xr3:uid="{121607F4-E87D-4781-B87E-1584F287B23F}" name="ARTÍCULO">
      <calculatedColumnFormula>IFERROR(INDEX(UNSPSCDes,MATCH(INDIRECT(ADDRESS(ROW(),COLUMN()-1,4)),UNSPSCCode,0)),"")</calculatedColumnFormula>
    </tableColumn>
    <tableColumn id="3" xr3:uid="{F9F765D0-C8E5-45FF-A43B-BE0B985FD23C}" name="UNIDAD DE MEDIDA"/>
    <tableColumn id="4" xr3:uid="{ABF22F9E-289B-4A1E-A7D5-E355415BD866}" name="CANTIDAD TOTAL ESTIMADA"/>
    <tableColumn id="5" xr3:uid="{055757A6-A5C3-4396-96E3-D8F77E1E3CB3}" name="PRECIO UNITARIO ESTIMADO"/>
    <tableColumn id="6" xr3:uid="{12A05934-1020-4288-BC49-0562A7C738F3}"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7781C0E-4511-4D02-B7D1-6FF9712BD45D}" name="Table372" displayName="Table372" ref="A782:F786" totalsRowShown="0">
  <autoFilter ref="A782:F786" xr:uid="{D6924874-B84E-4735-A4A6-4B500B11D160}"/>
  <tableColumns count="6">
    <tableColumn id="1" xr3:uid="{62EC220F-CC9E-43F1-96CC-5AB3802947B7}" name="CÓDIGO CATÁLOGO"/>
    <tableColumn id="2" xr3:uid="{CE0C6C7C-96CB-4052-9E35-E17E5C237AF5}" name="ARTÍCULO">
      <calculatedColumnFormula>IFERROR(INDEX(UNSPSCDes,MATCH(INDIRECT(ADDRESS(ROW(),COLUMN()-1,4)),UNSPSCCode,0)),"")</calculatedColumnFormula>
    </tableColumn>
    <tableColumn id="3" xr3:uid="{DC13261A-0488-4274-8BAE-2AF3B882E42B}" name="UNIDAD DE MEDIDA"/>
    <tableColumn id="4" xr3:uid="{53A62714-678C-4398-B385-4F3FB3A211B6}" name="CANTIDAD TOTAL ESTIMADA"/>
    <tableColumn id="5" xr3:uid="{839218CD-B351-4187-A4E6-33055AC498D2}" name="PRECIO UNITARIO ESTIMADO"/>
    <tableColumn id="6" xr3:uid="{40DB6391-1C6E-4CAF-9218-E986B44D10E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F371E25D-7A41-44AF-B2B4-442AEA0B03B7}" name="Table373" displayName="Table373" ref="A796:F802" totalsRowShown="0">
  <autoFilter ref="A796:F802" xr:uid="{2E7FB482-09B0-4269-998A-317BFF291FA9}"/>
  <tableColumns count="6">
    <tableColumn id="1" xr3:uid="{64661037-B64C-445B-8B7A-A8AB24BC5AF1}" name="CÓDIGO CATÁLOGO"/>
    <tableColumn id="2" xr3:uid="{63D78542-C219-43E9-88D3-667D4A615EA8}" name="ARTÍCULO">
      <calculatedColumnFormula>IFERROR(INDEX(UNSPSCDes,MATCH(INDIRECT(ADDRESS(ROW(),COLUMN()-1,4)),UNSPSCCode,0)),"")</calculatedColumnFormula>
    </tableColumn>
    <tableColumn id="3" xr3:uid="{D3FFA9D6-140F-40F1-9191-E305CA9BB8C7}" name="UNIDAD DE MEDIDA"/>
    <tableColumn id="4" xr3:uid="{04A67A2E-6D23-4219-B098-9E0D1D86541A}" name="CANTIDAD TOTAL ESTIMADA"/>
    <tableColumn id="5" xr3:uid="{F2601D42-3517-4E39-8A5D-F0713D5ECE95}" name="PRECIO UNITARIO ESTIMADO"/>
    <tableColumn id="6" xr3:uid="{06F2E734-B3FB-4131-A979-246F989012C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3B00D33-56D2-4885-A3C7-A9AD32FB5315}" name="Table39" displayName="Table39" ref="A91:F94" totalsRowShown="0">
  <autoFilter ref="A91:F94" xr:uid="{3021F3DA-5A25-45CD-BF92-26F1D9990813}"/>
  <tableColumns count="6">
    <tableColumn id="1" xr3:uid="{C84847D3-F754-4BB7-81DF-E1A2D1E4BF30}" name="CÓDIGO CATÁLOGO"/>
    <tableColumn id="2" xr3:uid="{BD87C048-6C59-42B7-B218-FDFDCF6BE5DD}" name="ARTÍCULO">
      <calculatedColumnFormula>IFERROR(INDEX(UNSPSCDes,MATCH(INDIRECT(ADDRESS(ROW(),COLUMN()-1,4)),UNSPSCCode,0)),"")</calculatedColumnFormula>
    </tableColumn>
    <tableColumn id="3" xr3:uid="{9E13D72A-0A28-4625-9585-737C13CD9BCD}" name="UNIDAD DE MEDIDA"/>
    <tableColumn id="4" xr3:uid="{5119B8C4-1DE5-4EF4-94B4-CA6048EFFD7B}" name="CANTIDAD TOTAL ESTIMADA"/>
    <tableColumn id="5" xr3:uid="{244E99CD-8574-4A65-AF53-10CC83AE7A93}" name="PRECIO UNITARIO ESTIMADO"/>
    <tableColumn id="6" xr3:uid="{45CCF316-D629-48A0-8616-52ED126B5EF3}"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358FB51-50EE-46B3-A5F9-598FF1649CF8}" name="Table374" displayName="Table374" ref="A812:F816" totalsRowShown="0">
  <autoFilter ref="A812:F816" xr:uid="{7B6B148A-D8FF-4CFC-B221-7CD408A16BF7}"/>
  <tableColumns count="6">
    <tableColumn id="1" xr3:uid="{1114C79E-2A42-4969-8B28-C6868F0A3CD7}" name="CÓDIGO CATÁLOGO"/>
    <tableColumn id="2" xr3:uid="{80169E33-4260-4DFB-BE6A-D78CB512CDAA}" name="ARTÍCULO">
      <calculatedColumnFormula>IFERROR(INDEX(UNSPSCDes,MATCH(INDIRECT(ADDRESS(ROW(),COLUMN()-1,4)),UNSPSCCode,0)),"")</calculatedColumnFormula>
    </tableColumn>
    <tableColumn id="3" xr3:uid="{86EEF25C-F941-48B6-BEFE-082AF794F246}" name="UNIDAD DE MEDIDA"/>
    <tableColumn id="4" xr3:uid="{9E4CDF5A-5B0E-4FFB-81DD-C86E899DEFC7}" name="CANTIDAD TOTAL ESTIMADA"/>
    <tableColumn id="5" xr3:uid="{A4AEC9B1-1B31-43AD-AD01-78954276D1E5}" name="PRECIO UNITARIO ESTIMADO"/>
    <tableColumn id="6" xr3:uid="{62B7B983-8579-498A-BC0E-D4E02AE1BCBD}"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A05E3880-BA67-4340-BD8E-68EE33B0BE6D}" name="Table375" displayName="Table375" ref="A826:F832" totalsRowShown="0">
  <autoFilter ref="A826:F832" xr:uid="{DAC2AB46-A04B-4E1C-8D20-EC9481AE76E4}"/>
  <tableColumns count="6">
    <tableColumn id="1" xr3:uid="{F21C9567-DB61-4A49-B68C-1A90BCEF6F52}" name="CÓDIGO CATÁLOGO"/>
    <tableColumn id="2" xr3:uid="{88643FA0-0ECD-441A-B37F-AD594D3B0890}" name="ARTÍCULO">
      <calculatedColumnFormula>IFERROR(INDEX(UNSPSCDes,MATCH(INDIRECT(ADDRESS(ROW(),COLUMN()-1,4)),UNSPSCCode,0)),"")</calculatedColumnFormula>
    </tableColumn>
    <tableColumn id="3" xr3:uid="{DC5438CB-0911-4582-A7FF-780A7FDCFF85}" name="UNIDAD DE MEDIDA"/>
    <tableColumn id="4" xr3:uid="{664E3909-577D-4CF2-8949-916F66F38BDA}" name="CANTIDAD TOTAL ESTIMADA"/>
    <tableColumn id="5" xr3:uid="{57775615-BE3A-4CEB-8F83-003C5B2907B4}" name="PRECIO UNITARIO ESTIMADO"/>
    <tableColumn id="6" xr3:uid="{470161CE-8B69-4E1B-A4B4-F52034CFAA81}"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5267217C-00F6-47DC-980F-A931CC64FB9A}" name="Table376" displayName="Table376" ref="A842:F843" totalsRowShown="0">
  <autoFilter ref="A842:F843" xr:uid="{D0E30674-F45A-426F-B29B-84980EC8CB79}"/>
  <tableColumns count="6">
    <tableColumn id="1" xr3:uid="{1CEA34A4-5766-4B5C-908B-CB00919922E0}" name="CÓDIGO CATÁLOGO" dataDxfId="70"/>
    <tableColumn id="2" xr3:uid="{20572B23-5A30-4959-8FE6-9E4B36AA054D}" name="ARTÍCULO">
      <calculatedColumnFormula>IFERROR(INDEX(UNSPSCDes,MATCH(INDIRECT(ADDRESS(ROW(),COLUMN()-1,4)),UNSPSCCode,0)),"")</calculatedColumnFormula>
    </tableColumn>
    <tableColumn id="3" xr3:uid="{42EEBA19-2600-42E4-BDBE-6165CD51F0C7}" name="UNIDAD DE MEDIDA"/>
    <tableColumn id="4" xr3:uid="{1047ACFF-8E4B-4886-8996-E17026867766}" name="CANTIDAD TOTAL ESTIMADA"/>
    <tableColumn id="5" xr3:uid="{E0607615-3781-42FC-A001-E86F79F6FA54}" name="PRECIO UNITARIO ESTIMADO"/>
    <tableColumn id="6" xr3:uid="{2F916625-ECE7-440E-B591-C6B60AFAB4BD}"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E1464F09-BB2C-4316-AA05-4E7A6C822BDB}" name="Table377" displayName="Table377" ref="A853:F854" totalsRowShown="0">
  <autoFilter ref="A853:F854" xr:uid="{D45D4924-158B-4929-A542-1E93FDC36106}"/>
  <tableColumns count="6">
    <tableColumn id="1" xr3:uid="{FB174459-A411-4C70-AC1A-9D3B7447F9AB}" name="CÓDIGO CATÁLOGO" dataDxfId="69"/>
    <tableColumn id="2" xr3:uid="{43838657-828A-4529-A525-03D9E1ADBED5}" name="ARTÍCULO">
      <calculatedColumnFormula>IFERROR(INDEX(UNSPSCDes,MATCH(INDIRECT(ADDRESS(ROW(),COLUMN()-1,4)),UNSPSCCode,0)),"")</calculatedColumnFormula>
    </tableColumn>
    <tableColumn id="3" xr3:uid="{0C3A2428-6F5C-41EA-BD7A-EE1B8DEEA6D3}" name="UNIDAD DE MEDIDA"/>
    <tableColumn id="4" xr3:uid="{A9EF5A8C-BA4A-4C3F-8831-180DF21F8F77}" name="CANTIDAD TOTAL ESTIMADA"/>
    <tableColumn id="5" xr3:uid="{F5824D58-7BC2-4CB6-9008-16C53D81BBCF}" name="PRECIO UNITARIO ESTIMADO"/>
    <tableColumn id="6" xr3:uid="{FF8A7B5D-4D99-4522-BE6A-A6D029E111B3}"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46D95B8B-858F-4956-BA14-7DE2A30FA6AD}" name="Table378" displayName="Table378" ref="A864:F865" totalsRowShown="0">
  <autoFilter ref="A864:F865" xr:uid="{69153B78-8C70-4961-ABC6-6056F8B5E4CC}"/>
  <tableColumns count="6">
    <tableColumn id="1" xr3:uid="{B541AA5A-9510-45DE-80AC-3973D9EB9211}" name="CÓDIGO CATÁLOGO" dataDxfId="68"/>
    <tableColumn id="2" xr3:uid="{62E82700-3F5C-41A1-A33D-7B67A956D83B}" name="ARTÍCULO">
      <calculatedColumnFormula>IFERROR(INDEX(UNSPSCDes,MATCH(INDIRECT(ADDRESS(ROW(),COLUMN()-1,4)),UNSPSCCode,0)),"")</calculatedColumnFormula>
    </tableColumn>
    <tableColumn id="3" xr3:uid="{1A527788-AE37-47AF-9EE5-FE426BCC5A73}" name="UNIDAD DE MEDIDA"/>
    <tableColumn id="4" xr3:uid="{B26F5026-690C-43BF-B77F-B955B7582E13}" name="CANTIDAD TOTAL ESTIMADA"/>
    <tableColumn id="5" xr3:uid="{9009AA96-ABAD-400F-BBD2-B135C051C74E}" name="PRECIO UNITARIO ESTIMADO"/>
    <tableColumn id="6" xr3:uid="{679B5BCC-58A2-48D3-BD11-08F963B8E235}"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6988300-6195-4C31-B8B8-88EB5875210F}" name="Table379" displayName="Table379" ref="A875:F876" totalsRowShown="0">
  <autoFilter ref="A875:F876" xr:uid="{9D36DC54-A05C-4D69-A337-C5E788767EBE}"/>
  <tableColumns count="6">
    <tableColumn id="1" xr3:uid="{FBA1EB98-2A1D-4B27-BA25-73F93F573B7F}" name="CÓDIGO CATÁLOGO" dataDxfId="67"/>
    <tableColumn id="2" xr3:uid="{0EC0D929-4D30-40A5-8F6F-C7F2CB755458}" name="ARTÍCULO">
      <calculatedColumnFormula>IFERROR(INDEX(UNSPSCDes,MATCH(INDIRECT(ADDRESS(ROW(),COLUMN()-1,4)),UNSPSCCode,0)),"")</calculatedColumnFormula>
    </tableColumn>
    <tableColumn id="3" xr3:uid="{04848599-E0BA-454C-9198-08D8C56F7554}" name="UNIDAD DE MEDIDA"/>
    <tableColumn id="4" xr3:uid="{3AACEDFD-6707-432C-9EFE-5D8D331B09A6}" name="CANTIDAD TOTAL ESTIMADA"/>
    <tableColumn id="5" xr3:uid="{575D08C5-EDDA-4293-9DB8-173CF0230E4B}" name="PRECIO UNITARIO ESTIMADO"/>
    <tableColumn id="6" xr3:uid="{5B2604F0-A933-48B2-A696-800755373B35}"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366B2EB-DB96-42A5-ADBD-23B4105CAEB6}" name="Table380" displayName="Table380" ref="A886:F887" totalsRowShown="0">
  <autoFilter ref="A886:F887" xr:uid="{D2713828-F915-42BE-9D70-CA9E91117D5D}"/>
  <tableColumns count="6">
    <tableColumn id="1" xr3:uid="{16DEA6FE-9AE4-4991-80AC-9416A4E02F2E}" name="CÓDIGO CATÁLOGO" dataDxfId="66" dataCellStyle="ArticleBody"/>
    <tableColumn id="2" xr3:uid="{5E6D8251-06DF-413B-9F3D-ECA0E2D6DF43}" name="ARTÍCULO">
      <calculatedColumnFormula>IFERROR(INDEX(UNSPSCDes,MATCH(INDIRECT(ADDRESS(ROW(),COLUMN()-1,4)),UNSPSCCode,0)),"")</calculatedColumnFormula>
    </tableColumn>
    <tableColumn id="3" xr3:uid="{89F4EB26-8558-42FD-8981-ADD129DBE7C9}" name="UNIDAD DE MEDIDA"/>
    <tableColumn id="4" xr3:uid="{AE1BCB6B-3A5E-46AC-B8E3-70785FE6F2C9}" name="CANTIDAD TOTAL ESTIMADA"/>
    <tableColumn id="5" xr3:uid="{A64BD578-A137-4666-9E4B-1FDA118A9AE7}" name="PRECIO UNITARIO ESTIMADO"/>
    <tableColumn id="6" xr3:uid="{90E8DC52-151D-4E58-B5A4-F3D18776F2C7}"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CFF9B6E-93D9-430F-B24A-CB44F71B5759}" name="Table381" displayName="Table381" ref="A897:F899" totalsRowShown="0">
  <autoFilter ref="A897:F899" xr:uid="{9BEEC905-6122-4266-82F5-26E287421BFB}"/>
  <tableColumns count="6">
    <tableColumn id="1" xr3:uid="{48A41F7A-4CD2-4FCF-AE2F-727425422C11}" name="CÓDIGO CATÁLOGO"/>
    <tableColumn id="2" xr3:uid="{3B80E050-46CB-40AD-B441-D3DED2801A34}" name="ARTÍCULO">
      <calculatedColumnFormula>IFERROR(INDEX(UNSPSCDes,MATCH(INDIRECT(ADDRESS(ROW(),COLUMN()-1,4)),UNSPSCCode,0)),"")</calculatedColumnFormula>
    </tableColumn>
    <tableColumn id="3" xr3:uid="{0FD5B093-B844-44B5-BE24-30C964D43FFB}" name="UNIDAD DE MEDIDA"/>
    <tableColumn id="4" xr3:uid="{9D88AA6D-EBE0-4B08-B112-95D90AF0DFA0}" name="CANTIDAD TOTAL ESTIMADA"/>
    <tableColumn id="5" xr3:uid="{D161B373-234C-41E2-9360-3E26E156EC73}" name="PRECIO UNITARIO ESTIMADO"/>
    <tableColumn id="6" xr3:uid="{088569E2-C863-41C0-9B33-9C3EB7A47E98}"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69AA696-EFCB-42DD-882F-9892A1223B0D}" name="Table382" displayName="Table382" ref="A909:F911" totalsRowShown="0">
  <autoFilter ref="A909:F911" xr:uid="{AB682C3D-47CF-46BD-8D89-EADBDF87E9F1}"/>
  <tableColumns count="6">
    <tableColumn id="1" xr3:uid="{ED71C3B4-193A-4559-8104-75847DB61BC4}" name="CÓDIGO CATÁLOGO"/>
    <tableColumn id="2" xr3:uid="{57109E8C-FF97-41DA-939F-F4585B7B38F3}" name="ARTÍCULO">
      <calculatedColumnFormula>IFERROR(INDEX(UNSPSCDes,MATCH(INDIRECT(ADDRESS(ROW(),COLUMN()-1,4)),UNSPSCCode,0)),"")</calculatedColumnFormula>
    </tableColumn>
    <tableColumn id="3" xr3:uid="{A76BAD24-E111-4ABF-AD3B-CCB048FE16A8}" name="UNIDAD DE MEDIDA"/>
    <tableColumn id="4" xr3:uid="{E7C280A8-689C-41C0-85B9-19DCA2FDCE43}" name="CANTIDAD TOTAL ESTIMADA"/>
    <tableColumn id="5" xr3:uid="{5DD99BB7-F0BE-40A0-AA40-3E58D7910002}" name="PRECIO UNITARIO ESTIMADO"/>
    <tableColumn id="6" xr3:uid="{F544BBA9-443A-4C8A-82EC-E7DB000F5B2C}"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FE12B1B-E5BE-4EBD-8E29-E45307AD1C60}" name="Table383" displayName="Table383" ref="A921:F922" totalsRowShown="0">
  <autoFilter ref="A921:F922" xr:uid="{00E3125C-5713-402C-8E90-7B3BD44651E7}"/>
  <tableColumns count="6">
    <tableColumn id="1" xr3:uid="{87E984A0-6E8B-424A-909D-5AC2E30B303C}" name="CÓDIGO CATÁLOGO" dataDxfId="65" dataCellStyle="ArticleBody"/>
    <tableColumn id="2" xr3:uid="{CB2A9870-BF36-4C48-8C92-1BE914B08E08}" name="ARTÍCULO">
      <calculatedColumnFormula>IFERROR(INDEX(UNSPSCDes,MATCH(INDIRECT(ADDRESS(ROW(),COLUMN()-1,4)),UNSPSCCode,0)),"")</calculatedColumnFormula>
    </tableColumn>
    <tableColumn id="3" xr3:uid="{1A7F5BC9-52C8-4798-8A62-47B4CDF88ECE}" name="UNIDAD DE MEDIDA"/>
    <tableColumn id="4" xr3:uid="{9AF93319-DB39-4448-A914-7B13E15979B4}" name="CANTIDAD TOTAL ESTIMADA"/>
    <tableColumn id="5" xr3:uid="{D7EF4FE8-E473-43B9-9895-7D8EFEC41C59}" name="PRECIO UNITARIO ESTIMADO"/>
    <tableColumn id="6" xr3:uid="{A643758C-2EC2-4DB8-B3E4-7788FBAA7E94}"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DB82C5-4136-4C46-B599-CA3ED048608B}" name="Table310" displayName="Table310" ref="A104:F105" totalsRowShown="0">
  <autoFilter ref="A104:F105" xr:uid="{C1595A1D-4EAC-4FF7-9C4F-417A3871ECB9}"/>
  <tableColumns count="6">
    <tableColumn id="1" xr3:uid="{E505D0A6-D58B-431C-9F4E-5C1E061B72E0}" name="CÓDIGO CATÁLOGO"/>
    <tableColumn id="2" xr3:uid="{3FDCA942-9187-4330-A54E-7AB15DC108C8}" name="ARTÍCULO">
      <calculatedColumnFormula>IFERROR(INDEX(UNSPSCDes,MATCH(INDIRECT(ADDRESS(ROW(),COLUMN()-1,4)),UNSPSCCode,0)),"")</calculatedColumnFormula>
    </tableColumn>
    <tableColumn id="3" xr3:uid="{641F0BA6-0D78-46C2-9399-9C80D03CD9B0}" name="UNIDAD DE MEDIDA"/>
    <tableColumn id="4" xr3:uid="{7AC65E13-CB99-44F9-BCA7-96AE26B83A78}" name="CANTIDAD TOTAL ESTIMADA"/>
    <tableColumn id="5" xr3:uid="{47637A36-EF9D-4296-B854-730C86F23873}" name="PRECIO UNITARIO ESTIMADO"/>
    <tableColumn id="6" xr3:uid="{297762F5-45A4-4B6F-88E4-5DC331EC1775}"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043FBF9-5DFD-4EAF-9FDB-9B7F8220B4AD}" name="Table384" displayName="Table384" ref="A932:F933" totalsRowShown="0">
  <autoFilter ref="A932:F933" xr:uid="{2051E20A-0A99-46C1-A21B-C5684A5C44AE}"/>
  <tableColumns count="6">
    <tableColumn id="1" xr3:uid="{082B1505-3473-4C56-B6F0-0CB546A6A8A9}" name="CÓDIGO CATÁLOGO" dataDxfId="64"/>
    <tableColumn id="2" xr3:uid="{9598547B-2B68-4F3E-87D0-87EF3AD50650}" name="ARTÍCULO">
      <calculatedColumnFormula>IFERROR(INDEX(UNSPSCDes,MATCH(INDIRECT(ADDRESS(ROW(),COLUMN()-1,4)),UNSPSCCode,0)),"")</calculatedColumnFormula>
    </tableColumn>
    <tableColumn id="3" xr3:uid="{0B50AAD9-5401-4DBD-80F1-65CAB741F478}" name="UNIDAD DE MEDIDA"/>
    <tableColumn id="4" xr3:uid="{E29D5EA3-7F60-4734-B193-2A5EB4FCBF79}" name="CANTIDAD TOTAL ESTIMADA"/>
    <tableColumn id="5" xr3:uid="{7F668928-AB89-4BB8-AC83-8FA9F21EC1CB}" name="PRECIO UNITARIO ESTIMADO"/>
    <tableColumn id="6" xr3:uid="{D41B4BAB-2465-4680-AE18-1946BEBABBBC}"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3DA6BD06-D2A3-489C-AC31-9BC999179A3F}" name="Table385" displayName="Table385" ref="A943:F944" totalsRowShown="0">
  <autoFilter ref="A943:F944" xr:uid="{AF0EFB3E-E58C-4BAB-88D0-F15E40855E4B}"/>
  <tableColumns count="6">
    <tableColumn id="1" xr3:uid="{F948CC93-562C-4939-8E64-510A3D6E6905}" name="CÓDIGO CATÁLOGO" dataDxfId="63"/>
    <tableColumn id="2" xr3:uid="{7BFC51E1-BED4-4803-9DA3-73BF97668154}" name="ARTÍCULO">
      <calculatedColumnFormula>IFERROR(INDEX(UNSPSCDes,MATCH(INDIRECT(ADDRESS(ROW(),COLUMN()-1,4)),UNSPSCCode,0)),"")</calculatedColumnFormula>
    </tableColumn>
    <tableColumn id="3" xr3:uid="{A71A8D5C-8AA2-42FA-8428-86C943DD983F}" name="UNIDAD DE MEDIDA"/>
    <tableColumn id="4" xr3:uid="{CE8B6612-451B-4C47-806C-B2F48DA46ACA}" name="CANTIDAD TOTAL ESTIMADA"/>
    <tableColumn id="5" xr3:uid="{AACB38DC-F4D6-42D9-ABE2-7D6A4C422E10}" name="PRECIO UNITARIO ESTIMADO"/>
    <tableColumn id="6" xr3:uid="{61426519-23DA-467E-814B-2283077B7A1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2CC60BA-E966-4018-85B4-CF157B90C687}" name="Table386" displayName="Table386" ref="A954:F955" totalsRowShown="0">
  <autoFilter ref="A954:F955" xr:uid="{81DBD161-209D-4AE7-8007-548998022BE8}"/>
  <tableColumns count="6">
    <tableColumn id="1" xr3:uid="{91D15792-BC12-4408-A011-5DA7D742BB8E}" name="CÓDIGO CATÁLOGO" dataDxfId="62" dataCellStyle="ArticleBody"/>
    <tableColumn id="2" xr3:uid="{F0BAC288-9247-4E42-8578-4B730CC971C5}" name="ARTÍCULO">
      <calculatedColumnFormula>IFERROR(INDEX(UNSPSCDes,MATCH(INDIRECT(ADDRESS(ROW(),COLUMN()-1,4)),UNSPSCCode,0)),"")</calculatedColumnFormula>
    </tableColumn>
    <tableColumn id="3" xr3:uid="{D24759C6-267D-454F-978F-B8D61193A21F}" name="UNIDAD DE MEDIDA"/>
    <tableColumn id="4" xr3:uid="{F12423B7-FA99-45D3-9500-D053CF8FFD87}" name="CANTIDAD TOTAL ESTIMADA"/>
    <tableColumn id="5" xr3:uid="{782D103D-E570-48FA-B352-0860427BF28E}" name="PRECIO UNITARIO ESTIMADO"/>
    <tableColumn id="6" xr3:uid="{C6DBB75C-93AD-4700-99E8-4BA276396132}"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3274E214-3FED-4AEE-87F5-80EC5E916241}" name="Table387" displayName="Table387" ref="A965:F966" totalsRowShown="0">
  <autoFilter ref="A965:F966" xr:uid="{E3FE777C-7C79-4268-A157-ED8CBCCD9674}"/>
  <tableColumns count="6">
    <tableColumn id="1" xr3:uid="{D3F021EF-9ADF-4940-AFB6-9E5CC8E823FB}" name="CÓDIGO CATÁLOGO" dataDxfId="61" dataCellStyle="ArticleBody"/>
    <tableColumn id="2" xr3:uid="{DBAF15CC-9E86-431A-8029-8AAF2EF9AECD}" name="ARTÍCULO">
      <calculatedColumnFormula>IFERROR(INDEX(UNSPSCDes,MATCH(INDIRECT(ADDRESS(ROW(),COLUMN()-1,4)),UNSPSCCode,0)),"")</calculatedColumnFormula>
    </tableColumn>
    <tableColumn id="3" xr3:uid="{09FC9BE9-DE93-43C6-9C7E-3A81CEA82772}" name="UNIDAD DE MEDIDA"/>
    <tableColumn id="4" xr3:uid="{33086CF2-06E1-492A-9FC0-9797D62D8B04}" name="CANTIDAD TOTAL ESTIMADA"/>
    <tableColumn id="5" xr3:uid="{E2652316-310A-4F35-AD92-73E1289DC930}" name="PRECIO UNITARIO ESTIMADO"/>
    <tableColumn id="6" xr3:uid="{3E47FBD4-4534-43BE-B188-5C454DE31B33}"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DEF62A5D-295D-4F1B-A318-EF6737A59F46}" name="Table388" displayName="Table388" ref="A976:F977" totalsRowShown="0">
  <autoFilter ref="A976:F977" xr:uid="{4477578B-53D8-4B6B-8CA5-562CAACF9177}"/>
  <tableColumns count="6">
    <tableColumn id="1" xr3:uid="{60BB4DF2-0E7A-47CF-98B6-7160903BC3B4}" name="CÓDIGO CATÁLOGO" dataDxfId="60" dataCellStyle="ArticleBody"/>
    <tableColumn id="2" xr3:uid="{FA82C1D6-622E-47C4-88E3-0F78CF4CAA99}" name="ARTÍCULO">
      <calculatedColumnFormula>IFERROR(INDEX(UNSPSCDes,MATCH(INDIRECT(ADDRESS(ROW(),COLUMN()-1,4)),UNSPSCCode,0)),"")</calculatedColumnFormula>
    </tableColumn>
    <tableColumn id="3" xr3:uid="{1060F746-8A3A-492A-94E3-BA2AB0E82CF9}" name="UNIDAD DE MEDIDA"/>
    <tableColumn id="4" xr3:uid="{B2429B1F-837A-4016-B96C-A7C72509CE33}" name="CANTIDAD TOTAL ESTIMADA"/>
    <tableColumn id="5" xr3:uid="{C5748DB6-68CE-4F55-9574-F22D9AAD2AB8}" name="PRECIO UNITARIO ESTIMADO"/>
    <tableColumn id="6" xr3:uid="{FC1F54CE-6BB8-4300-9232-BB23FE090BCF}"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50E650F3-7130-4964-91F9-E8F91D09D8B8}" name="Table389" displayName="Table389" ref="A987:F988" totalsRowShown="0">
  <autoFilter ref="A987:F988" xr:uid="{E3BB18CE-514A-446A-8955-50F535E6F261}"/>
  <tableColumns count="6">
    <tableColumn id="1" xr3:uid="{D3590365-12DB-4535-A6B3-596F839FEC94}" name="CÓDIGO CATÁLOGO" dataDxfId="59" dataCellStyle="ArticleBody"/>
    <tableColumn id="2" xr3:uid="{9111CF8C-EB82-410A-9E75-D56DB2987B40}" name="ARTÍCULO">
      <calculatedColumnFormula>IFERROR(INDEX(UNSPSCDes,MATCH(INDIRECT(ADDRESS(ROW(),COLUMN()-1,4)),UNSPSCCode,0)),"")</calculatedColumnFormula>
    </tableColumn>
    <tableColumn id="3" xr3:uid="{CB79926F-65B1-46AA-A30B-02534BB45C74}" name="UNIDAD DE MEDIDA"/>
    <tableColumn id="4" xr3:uid="{6A8D2BB2-D1BE-4C32-94F2-C9BB68DA5A98}" name="CANTIDAD TOTAL ESTIMADA"/>
    <tableColumn id="5" xr3:uid="{105047CB-AB84-4E2D-A876-7AB45F9F3A63}" name="PRECIO UNITARIO ESTIMADO"/>
    <tableColumn id="6" xr3:uid="{9ED00AA8-31CC-420A-BC23-DFAED25E4934}"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9AEB052-1B6E-462D-BA86-C7F917324411}" name="Table390" displayName="Table390" ref="A998:F999" totalsRowShown="0">
  <autoFilter ref="A998:F999" xr:uid="{69ECCCF7-A0AA-44D2-86B4-C74D9319BC6B}"/>
  <tableColumns count="6">
    <tableColumn id="1" xr3:uid="{BF0998E1-6856-495D-96A9-BAE4C4E6C9DD}" name="CÓDIGO CATÁLOGO" dataDxfId="58" dataCellStyle="ArticleBody"/>
    <tableColumn id="2" xr3:uid="{E4AFE6DA-F97D-4395-A288-5956082E5F34}" name="ARTÍCULO">
      <calculatedColumnFormula>IFERROR(INDEX(UNSPSCDes,MATCH(INDIRECT(ADDRESS(ROW(),COLUMN()-1,4)),UNSPSCCode,0)),"")</calculatedColumnFormula>
    </tableColumn>
    <tableColumn id="3" xr3:uid="{BA7A5D6A-5001-4E7D-BE0F-E26BC37F5948}" name="UNIDAD DE MEDIDA"/>
    <tableColumn id="4" xr3:uid="{FCFC58E8-9BC5-4A96-B54D-D870C9271C49}" name="CANTIDAD TOTAL ESTIMADA"/>
    <tableColumn id="5" xr3:uid="{D1ADDDAF-A85E-4970-9457-ACCA72C48E52}" name="PRECIO UNITARIO ESTIMADO"/>
    <tableColumn id="6" xr3:uid="{447019FD-8ADC-4443-8618-CD28E36B63EC}"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D23D2845-90C9-4845-B987-43EF951F24E3}" name="Table391" displayName="Table391" ref="A1009:F1010" totalsRowShown="0">
  <autoFilter ref="A1009:F1010" xr:uid="{5FC9EB75-35F8-43FD-8530-178B4DAA5527}"/>
  <tableColumns count="6">
    <tableColumn id="1" xr3:uid="{81A0E75D-0BC9-4FC0-B759-9274F8831497}" name="CÓDIGO CATÁLOGO" dataDxfId="57" dataCellStyle="ArticleBody"/>
    <tableColumn id="2" xr3:uid="{984895D7-39A0-441D-8D5C-DA94E85661BC}" name="ARTÍCULO">
      <calculatedColumnFormula>IFERROR(INDEX(UNSPSCDes,MATCH(INDIRECT(ADDRESS(ROW(),COLUMN()-1,4)),UNSPSCCode,0)),"")</calculatedColumnFormula>
    </tableColumn>
    <tableColumn id="3" xr3:uid="{0B9B27CD-8885-406E-8423-A2E35C8F154A}" name="UNIDAD DE MEDIDA"/>
    <tableColumn id="4" xr3:uid="{928029EA-A1CB-4170-855B-BCE72B05BBAC}" name="CANTIDAD TOTAL ESTIMADA"/>
    <tableColumn id="5" xr3:uid="{0E46FFF1-AD39-4090-8712-5681CABA7891}" name="PRECIO UNITARIO ESTIMADO"/>
    <tableColumn id="6" xr3:uid="{B451E351-D6FF-4885-912F-7F6E7D6B724B}"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C0E84F94-B952-45F0-B083-CE07C0D6FA07}" name="Table392" displayName="Table392" ref="A1020:F1021" totalsRowShown="0">
  <autoFilter ref="A1020:F1021" xr:uid="{9DF8E244-BE3C-450E-8AEA-22FC1C3D7311}"/>
  <tableColumns count="6">
    <tableColumn id="1" xr3:uid="{05DD54F8-B196-4C8E-8F00-28AC059E9618}" name="CÓDIGO CATÁLOGO" dataDxfId="56" dataCellStyle="ArticleBody"/>
    <tableColumn id="2" xr3:uid="{187F4AB5-75EF-49FB-8125-4603787F7917}" name="ARTÍCULO">
      <calculatedColumnFormula>IFERROR(INDEX(UNSPSCDes,MATCH(INDIRECT(ADDRESS(ROW(),COLUMN()-1,4)),UNSPSCCode,0)),"")</calculatedColumnFormula>
    </tableColumn>
    <tableColumn id="3" xr3:uid="{5683455D-9711-4EB4-B7E2-B898A153B0D0}" name="UNIDAD DE MEDIDA"/>
    <tableColumn id="4" xr3:uid="{7833A93F-1D1D-4C7B-84A7-477D6C5D2D45}" name="CANTIDAD TOTAL ESTIMADA"/>
    <tableColumn id="5" xr3:uid="{494DB9D4-5AD5-4567-87A2-67B1A06EF201}" name="PRECIO UNITARIO ESTIMADO"/>
    <tableColumn id="6" xr3:uid="{84D8995B-13A1-4D28-B144-AE7F0A8ABCE4}"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8FD52C3-5EFE-43FA-A902-4F4245BD3DDE}" name="Table393" displayName="Table393" ref="A1031:F1032" totalsRowShown="0">
  <autoFilter ref="A1031:F1032" xr:uid="{14C5A95A-FF95-441A-8325-083D88C0A2EE}"/>
  <tableColumns count="6">
    <tableColumn id="1" xr3:uid="{E01CC04A-079A-4902-AFB5-E228957F35B8}" name="CÓDIGO CATÁLOGO" dataDxfId="55" dataCellStyle="ArticleBody"/>
    <tableColumn id="2" xr3:uid="{31B08B23-CE7F-42F2-8A11-FAD7098AD3CA}" name="ARTÍCULO">
      <calculatedColumnFormula>IFERROR(INDEX(UNSPSCDes,MATCH(INDIRECT(ADDRESS(ROW(),COLUMN()-1,4)),UNSPSCCode,0)),"")</calculatedColumnFormula>
    </tableColumn>
    <tableColumn id="3" xr3:uid="{7A266187-B128-4CDE-8989-8A797869F4AD}" name="UNIDAD DE MEDIDA"/>
    <tableColumn id="4" xr3:uid="{848DDCF8-08E1-4704-B5D0-002C6EB7D2DF}" name="CANTIDAD TOTAL ESTIMADA"/>
    <tableColumn id="5" xr3:uid="{D234A8DA-2FBD-464A-BA70-C5C3BE1F8A2E}" name="PRECIO UNITARIO ESTIMADO"/>
    <tableColumn id="6" xr3:uid="{87E8F670-4376-4C6E-BEFF-910794FB4D1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6D62F41-23B1-4C7F-AA2F-2B8A916914CB}" name="Table311" displayName="Table311" ref="A115:F116" totalsRowShown="0">
  <autoFilter ref="A115:F116" xr:uid="{3BEA9C7F-6A8F-4CFF-A5C9-A2DAC3E44B43}"/>
  <tableColumns count="6">
    <tableColumn id="1" xr3:uid="{1B06ED3C-51AB-46B7-948C-82F542053209}" name="CÓDIGO CATÁLOGO"/>
    <tableColumn id="2" xr3:uid="{95AC2B19-DFBA-4576-A10D-7B71D2628288}" name="ARTÍCULO">
      <calculatedColumnFormula>IFERROR(INDEX(UNSPSCDes,MATCH(INDIRECT(ADDRESS(ROW(),COLUMN()-1,4)),UNSPSCCode,0)),"")</calculatedColumnFormula>
    </tableColumn>
    <tableColumn id="3" xr3:uid="{A1E50257-8D3F-4985-9CD6-797E7DEA2B1D}" name="UNIDAD DE MEDIDA"/>
    <tableColumn id="4" xr3:uid="{98C50060-BD18-4AC4-AC4C-EDBA6F313EDC}" name="CANTIDAD TOTAL ESTIMADA"/>
    <tableColumn id="5" xr3:uid="{CB07E3B4-7267-4F6D-8F5E-8AA67673E6F1}" name="PRECIO UNITARIO ESTIMADO"/>
    <tableColumn id="6" xr3:uid="{D857551D-F49E-4057-A41F-E5B97893249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59BF801-15E7-4BA1-9218-1CFC488DDB24}" name="Table394" displayName="Table394" ref="A1042:F1043" totalsRowShown="0">
  <autoFilter ref="A1042:F1043" xr:uid="{C933A1AB-DF29-4C18-873D-9E984C6815B9}"/>
  <tableColumns count="6">
    <tableColumn id="1" xr3:uid="{5DE3642D-5369-46F3-B15A-94041FC3439B}" name="CÓDIGO CATÁLOGO" dataDxfId="54"/>
    <tableColumn id="2" xr3:uid="{0A93C46C-6A7C-4356-9365-DB9978D80794}" name="ARTÍCULO">
      <calculatedColumnFormula>IFERROR(INDEX(UNSPSCDes,MATCH(INDIRECT(ADDRESS(ROW(),COLUMN()-1,4)),UNSPSCCode,0)),"")</calculatedColumnFormula>
    </tableColumn>
    <tableColumn id="3" xr3:uid="{C0AF4097-795D-40F6-82DF-FF7DFD23F0A8}" name="UNIDAD DE MEDIDA"/>
    <tableColumn id="4" xr3:uid="{9B5698F9-156B-48C9-A2C1-1254158CFFCA}" name="CANTIDAD TOTAL ESTIMADA"/>
    <tableColumn id="5" xr3:uid="{2B4F2986-B5CD-47E4-991E-123F6ACCE34E}" name="PRECIO UNITARIO ESTIMADO"/>
    <tableColumn id="6" xr3:uid="{A407C33E-EFD5-4F8D-AAB0-1A40271BD0CA}"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8E54B59-7296-449E-9424-7AFFBC15F493}" name="Table396" displayName="Table396" ref="A1053:F1054" totalsRowShown="0">
  <autoFilter ref="A1053:F1054" xr:uid="{221845A2-C318-4DE3-BEF0-9C1D6B2C80F1}"/>
  <tableColumns count="6">
    <tableColumn id="1" xr3:uid="{108F74ED-9128-44B7-8A43-8ADCF2BAFADB}" name="CÓDIGO CATÁLOGO" dataDxfId="53" dataCellStyle="ArticleBody"/>
    <tableColumn id="2" xr3:uid="{41F779D0-8772-4174-A5E2-EA2F353FA565}" name="ARTÍCULO">
      <calculatedColumnFormula>IFERROR(INDEX(UNSPSCDes,MATCH(INDIRECT(ADDRESS(ROW(),COLUMN()-1,4)),UNSPSCCode,0)),"")</calculatedColumnFormula>
    </tableColumn>
    <tableColumn id="3" xr3:uid="{EACEE8E8-970A-4A83-A96E-ACBCA72C6998}" name="UNIDAD DE MEDIDA"/>
    <tableColumn id="4" xr3:uid="{EC6F1DD8-7678-4AE4-92A1-CBBDC4DBFB5B}" name="CANTIDAD TOTAL ESTIMADA"/>
    <tableColumn id="5" xr3:uid="{234035CC-13F5-43C6-B4D6-18E068BDAD80}" name="PRECIO UNITARIO ESTIMADO"/>
    <tableColumn id="6" xr3:uid="{2D90ECD3-F4E3-408D-BEDB-CE01E04786C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76008A68-947B-4C86-9DF3-5D5B81B0E3E1}" name="Table397" displayName="Table397" ref="A1064:F1065" totalsRowShown="0">
  <autoFilter ref="A1064:F1065" xr:uid="{E9C1F181-575F-4726-AD50-A47BB49DB5C1}"/>
  <tableColumns count="6">
    <tableColumn id="1" xr3:uid="{179866C7-9B39-4155-B060-B39457A55F42}" name="CÓDIGO CATÁLOGO" dataDxfId="52" dataCellStyle="ArticleBody"/>
    <tableColumn id="2" xr3:uid="{453C31D7-7C6B-40E6-BB5B-7F9CA173E086}" name="ARTÍCULO">
      <calculatedColumnFormula>IFERROR(INDEX(UNSPSCDes,MATCH(INDIRECT(ADDRESS(ROW(),COLUMN()-1,4)),UNSPSCCode,0)),"")</calculatedColumnFormula>
    </tableColumn>
    <tableColumn id="3" xr3:uid="{0C75A0F1-4FE3-49B5-9F54-995D2D057D92}" name="UNIDAD DE MEDIDA"/>
    <tableColumn id="4" xr3:uid="{A8F81636-2BA2-4261-B2F8-B4AB990D9504}" name="CANTIDAD TOTAL ESTIMADA"/>
    <tableColumn id="5" xr3:uid="{F3B8CC16-DFBC-4B2A-AB8F-CBD6DE2AA5F0}" name="PRECIO UNITARIO ESTIMADO"/>
    <tableColumn id="6" xr3:uid="{A92372A2-7403-4A40-AB70-97C9D9029D2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15EAFEC-C644-47E7-BEB0-05CCD2158EF7}" name="Table398" displayName="Table398" ref="A1075:F1076" totalsRowShown="0">
  <autoFilter ref="A1075:F1076" xr:uid="{9464D1D3-7158-4440-8F7B-7F6FFB788B6D}"/>
  <tableColumns count="6">
    <tableColumn id="1" xr3:uid="{80D95F80-96DA-486F-997B-806C2C68DA12}" name="CÓDIGO CATÁLOGO" dataDxfId="51" dataCellStyle="ArticleBody"/>
    <tableColumn id="2" xr3:uid="{C13A0CDE-1AC8-44F1-912F-FBD4FF2CF446}" name="ARTÍCULO">
      <calculatedColumnFormula>IFERROR(INDEX(UNSPSCDes,MATCH(INDIRECT(ADDRESS(ROW(),COLUMN()-1,4)),UNSPSCCode,0)),"")</calculatedColumnFormula>
    </tableColumn>
    <tableColumn id="3" xr3:uid="{A73265D3-B162-4FAD-9750-F211D7E8F1C0}" name="UNIDAD DE MEDIDA"/>
    <tableColumn id="4" xr3:uid="{BB65777F-FCAF-49CC-921C-5569C24B74EA}" name="CANTIDAD TOTAL ESTIMADA"/>
    <tableColumn id="5" xr3:uid="{39DC69CD-332D-46F3-B3C7-5064C176BCFD}" name="PRECIO UNITARIO ESTIMADO"/>
    <tableColumn id="6" xr3:uid="{5BC5D0B9-4A77-4B08-9A3C-BB49958B2BC2}"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4C2D57C-0DEA-4235-809B-F507246D1CB5}" name="Table399" displayName="Table399" ref="A1086:F1087" totalsRowShown="0">
  <autoFilter ref="A1086:F1087" xr:uid="{3D36294D-6D19-4BA8-9275-CFAE0C352A2B}"/>
  <tableColumns count="6">
    <tableColumn id="1" xr3:uid="{0E7DC681-9D0A-49FB-B78C-7FAEA793881C}" name="CÓDIGO CATÁLOGO" dataDxfId="50" dataCellStyle="ArticleBody"/>
    <tableColumn id="2" xr3:uid="{2D84C8E7-B98C-4005-BA50-F8E02115398D}" name="ARTÍCULO">
      <calculatedColumnFormula>IFERROR(INDEX(UNSPSCDes,MATCH(INDIRECT(ADDRESS(ROW(),COLUMN()-1,4)),UNSPSCCode,0)),"")</calculatedColumnFormula>
    </tableColumn>
    <tableColumn id="3" xr3:uid="{F39C327F-F0C4-43A2-AE3F-4303BAE3EE41}" name="UNIDAD DE MEDIDA"/>
    <tableColumn id="4" xr3:uid="{5E570508-4E99-4912-B66C-080E2A1840A0}" name="CANTIDAD TOTAL ESTIMADA"/>
    <tableColumn id="5" xr3:uid="{69B56D8C-EB99-4AD3-8E95-83D5ABFDF546}" name="PRECIO UNITARIO ESTIMADO"/>
    <tableColumn id="6" xr3:uid="{AA22C6CA-90F3-4D3E-B1AF-2462D1A009C9}"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4492C06-DABA-452B-802B-DED3CAD08A71}" name="Table3100" displayName="Table3100" ref="A1097:F1098" totalsRowShown="0">
  <autoFilter ref="A1097:F1098" xr:uid="{24B55467-2605-4983-BEA8-A1ADE9D53A6C}"/>
  <tableColumns count="6">
    <tableColumn id="1" xr3:uid="{F36CFA22-0A3F-49B4-905A-7BEB2EC665EC}" name="CÓDIGO CATÁLOGO" dataDxfId="49" dataCellStyle="ArticleBody"/>
    <tableColumn id="2" xr3:uid="{137AD5E9-E2F5-48AE-9E09-76D636C7085E}" name="ARTÍCULO">
      <calculatedColumnFormula>IFERROR(INDEX(UNSPSCDes,MATCH(INDIRECT(ADDRESS(ROW(),COLUMN()-1,4)),UNSPSCCode,0)),"")</calculatedColumnFormula>
    </tableColumn>
    <tableColumn id="3" xr3:uid="{9ADC6643-7FC9-4E6E-BEF6-C9424E8C4D9A}" name="UNIDAD DE MEDIDA"/>
    <tableColumn id="4" xr3:uid="{A7D41F67-0509-4A8C-A343-AECEEA1A0DCE}" name="CANTIDAD TOTAL ESTIMADA"/>
    <tableColumn id="5" xr3:uid="{F74E8315-D03B-42CC-89CB-571E397CEC86}" name="PRECIO UNITARIO ESTIMADO"/>
    <tableColumn id="6" xr3:uid="{43E5B54B-43B4-4B0A-99BA-56BCFC24FF87}"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B4DFB19F-67D5-4C65-8848-19D37F3DD838}" name="Table3101" displayName="Table3101" ref="A1108:F1109" totalsRowShown="0">
  <autoFilter ref="A1108:F1109" xr:uid="{5566C513-E2E7-4C34-B051-DE326246ADE6}"/>
  <tableColumns count="6">
    <tableColumn id="1" xr3:uid="{1C7337AC-5149-4A9B-927C-B6F63026BED6}" name="CÓDIGO CATÁLOGO" dataDxfId="48" dataCellStyle="ArticleBody"/>
    <tableColumn id="2" xr3:uid="{DF81EF8F-841F-4249-B7E5-7B70046CC955}" name="ARTÍCULO">
      <calculatedColumnFormula>IFERROR(INDEX(UNSPSCDes,MATCH(INDIRECT(ADDRESS(ROW(),COLUMN()-1,4)),UNSPSCCode,0)),"")</calculatedColumnFormula>
    </tableColumn>
    <tableColumn id="3" xr3:uid="{75438F11-CD5A-49DD-B165-CA570FD881F8}" name="UNIDAD DE MEDIDA"/>
    <tableColumn id="4" xr3:uid="{ADEFCBAD-9B13-402A-A503-DBE714E642C3}" name="CANTIDAD TOTAL ESTIMADA"/>
    <tableColumn id="5" xr3:uid="{2DE701AA-79E8-48FB-90FB-8B362CC18CEB}" name="PRECIO UNITARIO ESTIMADO"/>
    <tableColumn id="6" xr3:uid="{D1152525-0F67-4FB2-AB0C-3949D72A03D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FD33E94C-5EE3-443F-ACF1-F1ED1872903A}" name="Table3102" displayName="Table3102" ref="A1119:F1120" totalsRowShown="0">
  <autoFilter ref="A1119:F1120" xr:uid="{BD5984E5-4DB0-4066-94B5-018FE175C6C0}"/>
  <tableColumns count="6">
    <tableColumn id="1" xr3:uid="{50A0F3C2-6EDB-4213-B9D6-D2ECDC565A04}" name="CÓDIGO CATÁLOGO" dataDxfId="47" dataCellStyle="ArticleBody"/>
    <tableColumn id="2" xr3:uid="{C3FF7F5C-F866-4F7C-8062-CF860472D305}" name="ARTÍCULO">
      <calculatedColumnFormula>IFERROR(INDEX(UNSPSCDes,MATCH(INDIRECT(ADDRESS(ROW(),COLUMN()-1,4)),UNSPSCCode,0)),"")</calculatedColumnFormula>
    </tableColumn>
    <tableColumn id="3" xr3:uid="{F74C9FBF-1A0C-4260-9E5A-BE858BA830DD}" name="UNIDAD DE MEDIDA"/>
    <tableColumn id="4" xr3:uid="{315D143F-676B-4588-BC54-12FD825CE47F}" name="CANTIDAD TOTAL ESTIMADA"/>
    <tableColumn id="5" xr3:uid="{E8FBA992-0075-4484-8CEF-559F5CAB5883}" name="PRECIO UNITARIO ESTIMADO"/>
    <tableColumn id="6" xr3:uid="{29DB66D6-4192-4F3E-906E-18FB04D2BE0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5B4BAE55-3960-493A-95B8-83733FB2130C}" name="Table3103" displayName="Table3103" ref="A1130:F1131" totalsRowShown="0">
  <autoFilter ref="A1130:F1131" xr:uid="{F4EA1358-88DB-4EB2-B3FB-A3EBAEE1E108}"/>
  <tableColumns count="6">
    <tableColumn id="1" xr3:uid="{D45BC18E-1E11-4CB7-A477-1FA4E153B450}" name="CÓDIGO CATÁLOGO" dataDxfId="46" dataCellStyle="ArticleBody"/>
    <tableColumn id="2" xr3:uid="{362EE767-5088-4C26-8AB8-E076335A9223}" name="ARTÍCULO">
      <calculatedColumnFormula>IFERROR(INDEX(UNSPSCDes,MATCH(INDIRECT(ADDRESS(ROW(),COLUMN()-1,4)),UNSPSCCode,0)),"")</calculatedColumnFormula>
    </tableColumn>
    <tableColumn id="3" xr3:uid="{49F200CD-2730-4F8F-8546-E86F4216F482}" name="UNIDAD DE MEDIDA"/>
    <tableColumn id="4" xr3:uid="{D254D0C8-1D6A-44F8-B313-8760B1D3773E}" name="CANTIDAD TOTAL ESTIMADA"/>
    <tableColumn id="5" xr3:uid="{0B9179D3-73FF-4023-BD38-279E84CA7379}" name="PRECIO UNITARIO ESTIMADO"/>
    <tableColumn id="6" xr3:uid="{7776DCF2-5FFA-47B5-B4B2-7AAC4476A76D}"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84D8B87-3799-4392-9DC1-EADFBB8A0562}" name="Table3104" displayName="Table3104" ref="A1141:F1142" totalsRowShown="0">
  <autoFilter ref="A1141:F1142" xr:uid="{8C19FF7A-994A-4E47-9ED6-F1F037204657}"/>
  <tableColumns count="6">
    <tableColumn id="1" xr3:uid="{E5AE5576-845C-4460-AA22-F36FEB47C8E9}" name="CÓDIGO CATÁLOGO" dataDxfId="45" dataCellStyle="ArticleBody"/>
    <tableColumn id="2" xr3:uid="{E9D6ED0F-2746-416B-9279-457230621D51}" name="ARTÍCULO">
      <calculatedColumnFormula>IFERROR(INDEX(UNSPSCDes,MATCH(INDIRECT(ADDRESS(ROW(),COLUMN()-1,4)),UNSPSCCode,0)),"")</calculatedColumnFormula>
    </tableColumn>
    <tableColumn id="3" xr3:uid="{BFA31869-1B60-4CFC-AC7F-85D190F4C3B3}" name="UNIDAD DE MEDIDA"/>
    <tableColumn id="4" xr3:uid="{2F4FD49E-C38F-492D-AB4A-AE2D9B88BC1A}" name="CANTIDAD TOTAL ESTIMADA"/>
    <tableColumn id="5" xr3:uid="{5142DD3B-5386-433C-A479-5595E12534BE}" name="PRECIO UNITARIO ESTIMADO"/>
    <tableColumn id="6" xr3:uid="{C9588D26-51FF-423F-84F5-7EE6FC18433B}"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51.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11.xml"/><Relationship Id="rId629" Type="http://schemas.openxmlformats.org/officeDocument/2006/relationships/table" Target="../tables/table109.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22.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3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0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44.xml"/><Relationship Id="rId424" Type="http://schemas.openxmlformats.org/officeDocument/2006/relationships/ctrlProp" Target="../ctrlProps/ctrlProp421.xml"/><Relationship Id="rId631" Type="http://schemas.openxmlformats.org/officeDocument/2006/relationships/table" Target="../tables/table11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5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2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6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3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7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4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table" Target="../tables/table4.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table" Target="../tables/table15.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82.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table" Target="../tables/table26.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9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table" Target="../tables/table3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10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48.xml"/><Relationship Id="rId428" Type="http://schemas.openxmlformats.org/officeDocument/2006/relationships/ctrlProp" Target="../ctrlProps/ctrlProp425.xml"/><Relationship Id="rId635" Type="http://schemas.openxmlformats.org/officeDocument/2006/relationships/table" Target="../tables/table115.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table" Target="../tables/table5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70.xml"/><Relationship Id="rId604" Type="http://schemas.openxmlformats.org/officeDocument/2006/relationships/table" Target="../tables/table84.xml"/><Relationship Id="rId646" Type="http://schemas.openxmlformats.org/officeDocument/2006/relationships/table" Target="../tables/table12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28.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95.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37.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39.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50.xml"/><Relationship Id="rId626" Type="http://schemas.openxmlformats.org/officeDocument/2006/relationships/table" Target="../tables/table10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48.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8.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61.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17.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19.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72.xml"/><Relationship Id="rId606" Type="http://schemas.openxmlformats.org/officeDocument/2006/relationships/table" Target="../tables/table86.xml"/><Relationship Id="rId648" Type="http://schemas.openxmlformats.org/officeDocument/2006/relationships/table" Target="../tables/table128.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41.xml"/><Relationship Id="rId617" Type="http://schemas.openxmlformats.org/officeDocument/2006/relationships/table" Target="../tables/table97.xml"/><Relationship Id="rId659" Type="http://schemas.openxmlformats.org/officeDocument/2006/relationships/table" Target="../tables/table13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5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10.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52.xml"/><Relationship Id="rId628" Type="http://schemas.openxmlformats.org/officeDocument/2006/relationships/table" Target="../tables/table108.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21.xml"/><Relationship Id="rId583" Type="http://schemas.openxmlformats.org/officeDocument/2006/relationships/table" Target="../tables/table63.xml"/><Relationship Id="rId639" Type="http://schemas.openxmlformats.org/officeDocument/2006/relationships/table" Target="../tables/table11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3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32.xml"/><Relationship Id="rId594" Type="http://schemas.openxmlformats.org/officeDocument/2006/relationships/table" Target="../tables/table74.xml"/><Relationship Id="rId608" Type="http://schemas.openxmlformats.org/officeDocument/2006/relationships/table" Target="../tables/table8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4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1.xml"/><Relationship Id="rId563" Type="http://schemas.openxmlformats.org/officeDocument/2006/relationships/table" Target="../tables/table43.xml"/><Relationship Id="rId619" Type="http://schemas.openxmlformats.org/officeDocument/2006/relationships/table" Target="../tables/table9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110.xml"/><Relationship Id="rId672" Type="http://schemas.openxmlformats.org/officeDocument/2006/relationships/comments" Target="../comments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12.xml"/><Relationship Id="rId574" Type="http://schemas.openxmlformats.org/officeDocument/2006/relationships/table" Target="../tables/table5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2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6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90.xml"/><Relationship Id="rId652" Type="http://schemas.openxmlformats.org/officeDocument/2006/relationships/table" Target="../tables/table13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34.xml"/><Relationship Id="rId596" Type="http://schemas.openxmlformats.org/officeDocument/2006/relationships/table" Target="../tables/table7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101.xml"/><Relationship Id="rId663" Type="http://schemas.openxmlformats.org/officeDocument/2006/relationships/table" Target="../tables/table14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4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12.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14.xml"/><Relationship Id="rId576" Type="http://schemas.openxmlformats.org/officeDocument/2006/relationships/table" Target="../tables/table5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81.xml"/><Relationship Id="rId643" Type="http://schemas.openxmlformats.org/officeDocument/2006/relationships/table" Target="../tables/table12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25.xml"/><Relationship Id="rId587" Type="http://schemas.openxmlformats.org/officeDocument/2006/relationships/table" Target="../tables/table6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9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34.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3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7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103.xml"/><Relationship Id="rId665" Type="http://schemas.openxmlformats.org/officeDocument/2006/relationships/table" Target="../tables/table14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5.xml"/><Relationship Id="rId567" Type="http://schemas.openxmlformats.org/officeDocument/2006/relationships/table" Target="../tables/table4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1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5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83.xml"/><Relationship Id="rId645" Type="http://schemas.openxmlformats.org/officeDocument/2006/relationships/table" Target="../tables/table12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27.xml"/><Relationship Id="rId589" Type="http://schemas.openxmlformats.org/officeDocument/2006/relationships/table" Target="../tables/table6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94.xml"/><Relationship Id="rId656" Type="http://schemas.openxmlformats.org/officeDocument/2006/relationships/table" Target="../tables/table13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3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10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4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7.xml"/><Relationship Id="rId569" Type="http://schemas.openxmlformats.org/officeDocument/2006/relationships/table" Target="../tables/table4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60.xml"/><Relationship Id="rId636" Type="http://schemas.openxmlformats.org/officeDocument/2006/relationships/table" Target="../tables/table11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18.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71.xml"/><Relationship Id="rId605" Type="http://schemas.openxmlformats.org/officeDocument/2006/relationships/table" Target="../tables/table8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2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2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4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96.xml"/><Relationship Id="rId658" Type="http://schemas.openxmlformats.org/officeDocument/2006/relationships/table" Target="../tables/table13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51.xml"/><Relationship Id="rId627" Type="http://schemas.openxmlformats.org/officeDocument/2006/relationships/table" Target="../tables/table107.xml"/><Relationship Id="rId669" Type="http://schemas.openxmlformats.org/officeDocument/2006/relationships/table" Target="../tables/table14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2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62.xml"/><Relationship Id="rId638" Type="http://schemas.openxmlformats.org/officeDocument/2006/relationships/table" Target="../tables/table11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31.xml"/><Relationship Id="rId593" Type="http://schemas.openxmlformats.org/officeDocument/2006/relationships/table" Target="../tables/table73.xml"/><Relationship Id="rId607" Type="http://schemas.openxmlformats.org/officeDocument/2006/relationships/table" Target="../tables/table87.xml"/><Relationship Id="rId649" Type="http://schemas.openxmlformats.org/officeDocument/2006/relationships/table" Target="../tables/table12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4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42.xml"/><Relationship Id="rId618" Type="http://schemas.openxmlformats.org/officeDocument/2006/relationships/table" Target="../tables/table9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53.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12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64.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3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8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7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4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2.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1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8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2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9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3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0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4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11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5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1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6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79.xml"/><Relationship Id="rId459" Type="http://schemas.openxmlformats.org/officeDocument/2006/relationships/ctrlProp" Target="../ctrlProps/ctrlProp456.xml"/><Relationship Id="rId666" Type="http://schemas.openxmlformats.org/officeDocument/2006/relationships/table" Target="../tables/table1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table" Target="../tables/table6.xml"/><Relationship Id="rId165" Type="http://schemas.openxmlformats.org/officeDocument/2006/relationships/ctrlProp" Target="../ctrlProps/ctrlProp162.xml"/><Relationship Id="rId372" Type="http://schemas.openxmlformats.org/officeDocument/2006/relationships/ctrlProp" Target="../ctrlProps/ctrlProp36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18.xml"/><Relationship Id="rId7" Type="http://schemas.openxmlformats.org/officeDocument/2006/relationships/table" Target="../tables/table15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21.xml"/><Relationship Id="rId5" Type="http://schemas.openxmlformats.org/officeDocument/2006/relationships/ctrlProp" Target="../ctrlProps/ctrlProp520.xml"/><Relationship Id="rId4" Type="http://schemas.openxmlformats.org/officeDocument/2006/relationships/ctrlProp" Target="../ctrlProps/ctrlProp5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20" workbookViewId="0">
      <selection activeCell="G13" sqref="G13"/>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8" t="s">
        <v>15167</v>
      </c>
      <c r="C6" s="78"/>
    </row>
    <row r="7" spans="2:7" ht="18" x14ac:dyDescent="0.25">
      <c r="B7" s="47" t="s">
        <v>5214</v>
      </c>
      <c r="C7" s="48">
        <f ca="1">PACC!B10</f>
        <v>31601933.000950001</v>
      </c>
      <c r="G7" s="25"/>
    </row>
    <row r="8" spans="2:7" ht="18" x14ac:dyDescent="0.25">
      <c r="B8" s="49" t="s">
        <v>3640</v>
      </c>
      <c r="C8" s="50">
        <f ca="1">PACC!B9</f>
        <v>151</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17724</v>
      </c>
      <c r="C12" s="51" t="str">
        <f>IF(PACC!E9="","",PACC!E9)</f>
        <v>Dirección nacional de Ética e Integridad Gubernamental</v>
      </c>
      <c r="G12" s="25"/>
    </row>
    <row r="13" spans="2:7" ht="16.5" customHeight="1" x14ac:dyDescent="0.25">
      <c r="B13" s="49" t="s">
        <v>18227</v>
      </c>
      <c r="C13" s="52">
        <f>IF(PACC!E11="","",PACC!E11)</f>
        <v>2021</v>
      </c>
      <c r="G13" s="26"/>
    </row>
    <row r="14" spans="2:7" ht="16.5" customHeight="1" x14ac:dyDescent="0.25">
      <c r="B14" s="49" t="s">
        <v>4035</v>
      </c>
      <c r="C14" s="70" t="str">
        <f>IF(PACC!E12="","",PACC!E12)</f>
        <v/>
      </c>
      <c r="G14" s="26"/>
    </row>
    <row r="15" spans="2:7" x14ac:dyDescent="0.25">
      <c r="B15" s="79" t="s">
        <v>3405</v>
      </c>
      <c r="C15" s="79"/>
    </row>
    <row r="16" spans="2:7" x14ac:dyDescent="0.25">
      <c r="B16" s="53" t="s">
        <v>10691</v>
      </c>
      <c r="C16" s="48">
        <f ca="1">SUMIF(ObjetoContratacionOculto,"="&amp;Bienes,TotalEstColumnValue)</f>
        <v>13807600</v>
      </c>
    </row>
    <row r="17" spans="2:3" x14ac:dyDescent="0.25">
      <c r="B17" s="53" t="s">
        <v>528</v>
      </c>
      <c r="C17" s="48">
        <f>SUMIF(ObjetoContratacionOculto,"="&amp;Obras,TotalEstColumnValue)</f>
        <v>0</v>
      </c>
    </row>
    <row r="18" spans="2:3" x14ac:dyDescent="0.25">
      <c r="B18" s="53" t="s">
        <v>91</v>
      </c>
      <c r="C18" s="48">
        <f ca="1">SUMIF(ObjetoContratacionOculto,"="&amp;Servicios,TotalEstColumnValue)</f>
        <v>17794333.000950001</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79" t="s">
        <v>16802</v>
      </c>
      <c r="C21" s="79"/>
    </row>
    <row r="22" spans="2:3" x14ac:dyDescent="0.25">
      <c r="B22" s="53" t="s">
        <v>11795</v>
      </c>
      <c r="C22" s="48">
        <f ca="1">SUMIF(MIPYMEOculto,"="&amp;MIPYMESí,TotalEstColumnValue)</f>
        <v>10419400.999600001</v>
      </c>
    </row>
    <row r="23" spans="2:3" x14ac:dyDescent="0.25">
      <c r="B23" s="53" t="s">
        <v>17857</v>
      </c>
      <c r="C23" s="48">
        <f ca="1">SUMIF(MIPYMEOculto,"="&amp;MIPYMEMujer,TotalEstColumnValue)</f>
        <v>4402467.0037500001</v>
      </c>
    </row>
    <row r="24" spans="2:3" x14ac:dyDescent="0.25">
      <c r="B24" s="53" t="s">
        <v>3561</v>
      </c>
      <c r="C24" s="48">
        <f ca="1">SUMIF(MIPYMEOculto,"="&amp;MIPYMENo,TotalEstColumnValue)</f>
        <v>16780064.9976</v>
      </c>
    </row>
    <row r="25" spans="2:3" x14ac:dyDescent="0.25">
      <c r="B25" s="78" t="s">
        <v>14391</v>
      </c>
      <c r="C25" s="78"/>
    </row>
    <row r="26" spans="2:3" x14ac:dyDescent="0.25">
      <c r="B26" s="53" t="s">
        <v>10102</v>
      </c>
      <c r="C26" s="48">
        <f ca="1">SUMIF(ProcedimientoOculto,"="&amp;ModCU,TotalEstColumnValue)</f>
        <v>5044600.9997000005</v>
      </c>
    </row>
    <row r="27" spans="2:3" x14ac:dyDescent="0.25">
      <c r="B27" s="53" t="s">
        <v>9173</v>
      </c>
      <c r="C27" s="48">
        <f ca="1">SUMIF(ProcedimientoOculto,"="&amp;ModCM,TotalEstColumnValue)</f>
        <v>18289192.999899998</v>
      </c>
    </row>
    <row r="28" spans="2:3" x14ac:dyDescent="0.25">
      <c r="B28" s="53" t="s">
        <v>11063</v>
      </c>
      <c r="C28" s="48">
        <f ca="1">SUMIF(ProcedimientoOculto,"="&amp;ModCP,TotalEstColumnValue)</f>
        <v>8268139.0013499996</v>
      </c>
    </row>
    <row r="29" spans="2:3" x14ac:dyDescent="0.25">
      <c r="B29" s="53" t="s">
        <v>7889</v>
      </c>
      <c r="C29" s="48">
        <f>SUMIF(ProcedimientoOculto,"="&amp;ModLP,TotalEstColumnValue)</f>
        <v>0</v>
      </c>
    </row>
    <row r="30" spans="2:3" x14ac:dyDescent="0.25">
      <c r="B30" s="53" t="s">
        <v>13158</v>
      </c>
      <c r="C30" s="48">
        <f>SUMIF(ProcedimientoOculto,"="&amp;ModLI,TotalEstColumnValue)</f>
        <v>0</v>
      </c>
    </row>
    <row r="31" spans="2:3" x14ac:dyDescent="0.25">
      <c r="B31" s="53" t="s">
        <v>10590</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12210</v>
      </c>
      <c r="C34" s="48">
        <f>SUMIF(ProcedimientoOculto,"="&amp;ModEConstruccion,TotalEstColumnValue)</f>
        <v>0</v>
      </c>
    </row>
    <row r="35" spans="2:3" ht="30" x14ac:dyDescent="0.25">
      <c r="B35" s="49" t="s">
        <v>13950</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12186</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737"/>
  <sheetViews>
    <sheetView view="pageBreakPreview" topLeftCell="A1695" zoomScaleNormal="100" zoomScaleSheetLayoutView="100" workbookViewId="0">
      <selection activeCell="E911" sqref="E911"/>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4"/>
      <c r="B1" s="39"/>
      <c r="C1" s="27"/>
      <c r="D1" s="27"/>
      <c r="E1" s="1"/>
      <c r="F1" s="39"/>
      <c r="G1" s="39"/>
      <c r="H1" s="2"/>
      <c r="I1" s="28"/>
      <c r="J1" s="28"/>
      <c r="K1" s="9"/>
      <c r="L1" s="9"/>
      <c r="M1" s="9"/>
    </row>
    <row r="2" spans="1:13" s="3" customFormat="1" ht="18" x14ac:dyDescent="0.25">
      <c r="A2" s="84"/>
      <c r="B2" s="87" t="s">
        <v>1389</v>
      </c>
      <c r="C2" s="87"/>
      <c r="D2" s="87"/>
      <c r="E2" s="87"/>
      <c r="F2" s="55"/>
      <c r="G2" s="39"/>
      <c r="H2" s="9"/>
    </row>
    <row r="3" spans="1:13" s="3" customFormat="1" ht="18" x14ac:dyDescent="0.25">
      <c r="A3" s="84"/>
      <c r="B3" s="88" t="str">
        <f>"AÑO "&amp;E11</f>
        <v>AÑO 2021</v>
      </c>
      <c r="C3" s="88"/>
      <c r="D3" s="88"/>
      <c r="E3" s="88"/>
      <c r="F3" s="56"/>
      <c r="G3" s="39"/>
      <c r="H3" s="9"/>
    </row>
    <row r="4" spans="1:13" s="3" customFormat="1" ht="18" x14ac:dyDescent="0.25">
      <c r="A4" s="84"/>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9816</v>
      </c>
      <c r="B6" s="36"/>
      <c r="C6" s="32"/>
      <c r="D6" s="41" t="s">
        <v>5260</v>
      </c>
      <c r="E6" s="85" t="s">
        <v>13267</v>
      </c>
      <c r="F6" s="86"/>
    </row>
    <row r="7" spans="1:13" s="40" customFormat="1" ht="13.5" x14ac:dyDescent="0.25">
      <c r="A7" s="33" t="s">
        <v>16009</v>
      </c>
      <c r="B7" s="36"/>
      <c r="C7" s="36"/>
      <c r="D7" s="41" t="s">
        <v>10080</v>
      </c>
      <c r="E7" s="85" t="s">
        <v>15153</v>
      </c>
      <c r="F7" s="86"/>
    </row>
    <row r="8" spans="1:13" s="40" customFormat="1" ht="13.5" x14ac:dyDescent="0.25">
      <c r="A8" s="36"/>
      <c r="B8" s="36"/>
      <c r="C8" s="36"/>
      <c r="D8" s="41" t="s">
        <v>11673</v>
      </c>
      <c r="E8" s="85" t="s">
        <v>17207</v>
      </c>
      <c r="F8" s="86"/>
    </row>
    <row r="9" spans="1:13" s="40" customFormat="1" ht="13.5" x14ac:dyDescent="0.25">
      <c r="A9" s="35" t="s">
        <v>3826</v>
      </c>
      <c r="B9" s="43">
        <f ca="1">COUNTIFS(TotalEstColumnName,"="&amp;TotalEstLabel,TotalEstColumnValue,"&gt;0")</f>
        <v>151</v>
      </c>
      <c r="C9" s="36"/>
      <c r="D9" s="41" t="s">
        <v>6838</v>
      </c>
      <c r="E9" s="85" t="s">
        <v>14750</v>
      </c>
      <c r="F9" s="86"/>
    </row>
    <row r="10" spans="1:13" s="40" customFormat="1" ht="13.5" x14ac:dyDescent="0.25">
      <c r="A10" s="37" t="s">
        <v>17060</v>
      </c>
      <c r="B10" s="42">
        <f ca="1">SUMIF(TotalEstColumnName,"="&amp;TotalEstLabel,TotalEstColumnValue)</f>
        <v>31601933.000950001</v>
      </c>
      <c r="C10" s="36"/>
      <c r="D10" s="41" t="s">
        <v>14705</v>
      </c>
      <c r="E10" s="85" t="s">
        <v>5822</v>
      </c>
      <c r="F10" s="86"/>
    </row>
    <row r="11" spans="1:13" s="40" customFormat="1" ht="13.5" x14ac:dyDescent="0.25">
      <c r="A11" s="36"/>
      <c r="B11" s="36"/>
      <c r="C11" s="36"/>
      <c r="D11" s="41" t="s">
        <v>3422</v>
      </c>
      <c r="E11" s="89">
        <v>2021</v>
      </c>
      <c r="F11" s="90"/>
    </row>
    <row r="12" spans="1:13" s="40" customFormat="1" ht="13.5" x14ac:dyDescent="0.25">
      <c r="A12" s="34"/>
      <c r="B12" s="34"/>
      <c r="C12" s="34"/>
      <c r="D12" s="41" t="s">
        <v>3493</v>
      </c>
      <c r="E12" s="80" t="s">
        <v>6780</v>
      </c>
      <c r="F12" s="81"/>
    </row>
    <row r="15" spans="1:13" ht="33.950000000000003" customHeight="1" x14ac:dyDescent="0.25">
      <c r="A15" s="59" t="s">
        <v>16382</v>
      </c>
      <c r="B15" s="59" t="s">
        <v>161</v>
      </c>
      <c r="C15" s="59" t="s">
        <v>11723</v>
      </c>
      <c r="D15" s="59" t="s">
        <v>14377</v>
      </c>
      <c r="E15" s="59" t="s">
        <v>10961</v>
      </c>
      <c r="F15" s="59" t="s">
        <v>11094</v>
      </c>
    </row>
    <row r="16" spans="1:13" ht="13.5" customHeight="1" x14ac:dyDescent="0.25">
      <c r="A16" s="61" t="s">
        <v>18833</v>
      </c>
      <c r="B16" s="61" t="s">
        <v>18832</v>
      </c>
      <c r="C16" s="61" t="s">
        <v>6798</v>
      </c>
      <c r="D16" s="61" t="s">
        <v>1875</v>
      </c>
      <c r="E16" s="61" t="s">
        <v>17854</v>
      </c>
      <c r="F16" s="61" t="s">
        <v>6780</v>
      </c>
    </row>
    <row r="17" spans="1:10" ht="14.1" customHeight="1" x14ac:dyDescent="0.25">
      <c r="A17" s="82" t="s">
        <v>14828</v>
      </c>
      <c r="B17" s="62" t="s">
        <v>8528</v>
      </c>
      <c r="C17" s="72">
        <v>44197</v>
      </c>
      <c r="D17" s="82" t="s">
        <v>9385</v>
      </c>
      <c r="E17" s="74" t="s">
        <v>13092</v>
      </c>
      <c r="F17" s="75" t="s">
        <v>3080</v>
      </c>
    </row>
    <row r="18" spans="1:10" ht="14.1" customHeight="1" x14ac:dyDescent="0.25">
      <c r="A18" s="83"/>
      <c r="B18" s="62" t="s">
        <v>1786</v>
      </c>
      <c r="C18" s="73">
        <f>IF(C17="","",IF(AND(MONTH(C17)&gt;=1,MONTH(C17)&lt;=3),1,IF(AND(MONTH(C17)&gt;=4,MONTH(C17)&lt;=6),2,IF(AND(MONTH(C17)&gt;=7,MONTH(C17)&lt;=9),3,4))))</f>
        <v>1</v>
      </c>
      <c r="D18" s="83"/>
      <c r="E18" s="74" t="s">
        <v>2417</v>
      </c>
      <c r="F18" s="75" t="s">
        <v>11111</v>
      </c>
    </row>
    <row r="19" spans="1:10" ht="14.1" customHeight="1" x14ac:dyDescent="0.25">
      <c r="A19" s="83"/>
      <c r="B19" s="62" t="s">
        <v>12941</v>
      </c>
      <c r="C19" s="72">
        <v>44211</v>
      </c>
      <c r="D19" s="83"/>
      <c r="E19" s="74" t="s">
        <v>3073</v>
      </c>
      <c r="F19" s="75" t="s">
        <v>11111</v>
      </c>
    </row>
    <row r="20" spans="1:10" ht="14.1" customHeight="1" x14ac:dyDescent="0.25">
      <c r="A20" s="83"/>
      <c r="B20" s="62" t="s">
        <v>1786</v>
      </c>
      <c r="C20" s="73">
        <f>IF(C19="","",IF(AND(MONTH(C19)&gt;=1,MONTH(C19)&lt;=3),1,IF(AND(MONTH(C19)&gt;=4,MONTH(C19)&lt;=6),2,IF(AND(MONTH(C19)&gt;=7,MONTH(C19)&lt;=9),3,4))))</f>
        <v>1</v>
      </c>
      <c r="D20" s="83"/>
      <c r="E20" s="74" t="s">
        <v>13191</v>
      </c>
      <c r="F20" s="75" t="s">
        <v>11111</v>
      </c>
    </row>
    <row r="22" spans="1:10" ht="14.1" customHeight="1" thickBot="1" x14ac:dyDescent="0.3">
      <c r="A22" s="67" t="s">
        <v>15735</v>
      </c>
      <c r="B22" s="67" t="s">
        <v>16146</v>
      </c>
      <c r="C22" s="67" t="s">
        <v>15641</v>
      </c>
      <c r="D22" s="67" t="s">
        <v>15251</v>
      </c>
      <c r="E22" s="67" t="s">
        <v>6932</v>
      </c>
      <c r="F22" s="67" t="s">
        <v>15280</v>
      </c>
    </row>
    <row r="23" spans="1:10" ht="13.5" customHeight="1" x14ac:dyDescent="0.25">
      <c r="A23" s="63">
        <v>84131602</v>
      </c>
      <c r="B23" s="64" t="str">
        <f ca="1">IFERROR(INDEX(UNSPSCDes,MATCH(INDIRECT(ADDRESS(ROW(),COLUMN()-1,4)),UNSPSCCode,0)),"")</f>
        <v>Seguros de asistencia médica y hospitalización</v>
      </c>
      <c r="C23" s="76" t="s">
        <v>1449</v>
      </c>
      <c r="D23" s="63">
        <v>162</v>
      </c>
      <c r="E23" s="66">
        <v>14814.8148</v>
      </c>
      <c r="F23" s="65">
        <f ca="1">INDIRECT(ADDRESS(ROW(),COLUMN()-2,4))*INDIRECT(ADDRESS(ROW(),COLUMN()-1,4))</f>
        <v>2399999.9975999999</v>
      </c>
    </row>
    <row r="24" spans="1:10" ht="14.1" customHeight="1" x14ac:dyDescent="0.25">
      <c r="E24" s="68" t="s">
        <v>12549</v>
      </c>
      <c r="F24" s="69">
        <f ca="1">SUM(Table4[MONTO TOTAL ESTIMADO])</f>
        <v>2399999.9975999999</v>
      </c>
      <c r="H24" s="24" t="str">
        <f>C16</f>
        <v>Servicios</v>
      </c>
      <c r="I24" s="24" t="str">
        <f>E16</f>
        <v>No</v>
      </c>
      <c r="J24" s="24" t="str">
        <f>D16</f>
        <v>Comparacion de Precios</v>
      </c>
    </row>
    <row r="25" spans="1:10" ht="14.1" customHeight="1" thickBot="1" x14ac:dyDescent="0.3"/>
    <row r="26" spans="1:10" ht="33.75" customHeight="1" thickBot="1" x14ac:dyDescent="0.25">
      <c r="A26" s="59" t="s">
        <v>16382</v>
      </c>
      <c r="B26" s="59" t="s">
        <v>161</v>
      </c>
      <c r="C26" s="59" t="s">
        <v>11723</v>
      </c>
      <c r="D26" s="59" t="s">
        <v>14377</v>
      </c>
      <c r="E26" s="59" t="s">
        <v>10961</v>
      </c>
      <c r="F26" s="59" t="s">
        <v>11094</v>
      </c>
      <c r="G26" s="5"/>
      <c r="H26" s="5"/>
      <c r="I26" s="5"/>
      <c r="J26" s="5"/>
    </row>
    <row r="27" spans="1:10" ht="13.5" customHeight="1" thickBot="1" x14ac:dyDescent="0.25">
      <c r="A27" s="61" t="s">
        <v>18834</v>
      </c>
      <c r="B27" s="61" t="s">
        <v>18835</v>
      </c>
      <c r="C27" s="61" t="s">
        <v>6798</v>
      </c>
      <c r="D27" s="61" t="s">
        <v>10170</v>
      </c>
      <c r="E27" s="61" t="s">
        <v>17854</v>
      </c>
      <c r="F27" s="61"/>
      <c r="G27" s="5"/>
      <c r="H27" s="5"/>
      <c r="I27" s="5"/>
      <c r="J27" s="5"/>
    </row>
    <row r="28" spans="1:10" ht="14.1" customHeight="1" thickBot="1" x14ac:dyDescent="0.25">
      <c r="A28" s="82" t="s">
        <v>14828</v>
      </c>
      <c r="B28" s="62" t="s">
        <v>8528</v>
      </c>
      <c r="C28" s="71">
        <v>44197</v>
      </c>
      <c r="D28" s="82" t="s">
        <v>9385</v>
      </c>
      <c r="E28" s="62" t="s">
        <v>13092</v>
      </c>
      <c r="F28" s="61" t="s">
        <v>3080</v>
      </c>
      <c r="G28" s="5"/>
      <c r="H28" s="5"/>
      <c r="I28" s="5"/>
      <c r="J28" s="5"/>
    </row>
    <row r="29" spans="1:10" ht="14.1" customHeight="1" thickBot="1" x14ac:dyDescent="0.25">
      <c r="A29" s="83"/>
      <c r="B29" s="62" t="s">
        <v>1786</v>
      </c>
      <c r="C29" s="60">
        <f>IF(C28="","",IF(AND(MONTH(C28)&gt;=1,MONTH(C28)&lt;=3),1,IF(AND(MONTH(C28)&gt;=4,MONTH(C28)&lt;=6),2,IF(AND(MONTH(C28)&gt;=7,MONTH(C28)&lt;=9),3,4))))</f>
        <v>1</v>
      </c>
      <c r="D29" s="83"/>
      <c r="E29" s="62" t="s">
        <v>2417</v>
      </c>
      <c r="F29" s="61" t="s">
        <v>11111</v>
      </c>
      <c r="G29" s="5"/>
      <c r="H29" s="5"/>
      <c r="I29" s="5"/>
      <c r="J29" s="5"/>
    </row>
    <row r="30" spans="1:10" ht="14.1" customHeight="1" thickBot="1" x14ac:dyDescent="0.25">
      <c r="A30" s="83"/>
      <c r="B30" s="62" t="s">
        <v>12941</v>
      </c>
      <c r="C30" s="71">
        <v>44199</v>
      </c>
      <c r="D30" s="83"/>
      <c r="E30" s="62" t="s">
        <v>3073</v>
      </c>
      <c r="F30" s="61" t="s">
        <v>11111</v>
      </c>
      <c r="G30" s="5"/>
      <c r="H30" s="5"/>
      <c r="I30" s="5"/>
      <c r="J30" s="5"/>
    </row>
    <row r="31" spans="1:10" ht="14.1" customHeight="1" thickBot="1" x14ac:dyDescent="0.25">
      <c r="A31" s="83"/>
      <c r="B31" s="62" t="s">
        <v>1786</v>
      </c>
      <c r="C31" s="60">
        <f>IF(C30="","",IF(AND(MONTH(C30)&gt;=1,MONTH(C30)&lt;=3),1,IF(AND(MONTH(C30)&gt;=4,MONTH(C30)&lt;=6),2,IF(AND(MONTH(C30)&gt;=7,MONTH(C30)&lt;=9),3,4))))</f>
        <v>1</v>
      </c>
      <c r="D31" s="83"/>
      <c r="E31" s="62" t="s">
        <v>13191</v>
      </c>
      <c r="F31" s="61" t="s">
        <v>11111</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63">
        <v>82101504</v>
      </c>
      <c r="B34" s="64" t="str">
        <f ca="1">IFERROR(INDEX(UNSPSCDes,MATCH(INDIRECT(ADDRESS(ROW(),COLUMN()-1,4)),UNSPSCCode,0)),"")</f>
        <v>Publicidad en periódicos</v>
      </c>
      <c r="C34" s="63" t="s">
        <v>1449</v>
      </c>
      <c r="D34" s="63">
        <v>1</v>
      </c>
      <c r="E34" s="66">
        <v>100000</v>
      </c>
      <c r="F34" s="65">
        <f ca="1">INDIRECT(ADDRESS(ROW(),COLUMN()-2,4))*INDIRECT(ADDRESS(ROW(),COLUMN()-1,4))</f>
        <v>100000</v>
      </c>
      <c r="G34" s="5"/>
      <c r="H34" s="5"/>
      <c r="I34" s="5"/>
      <c r="J34" s="5"/>
    </row>
    <row r="35" spans="1:10" ht="14.1" customHeight="1" x14ac:dyDescent="0.2">
      <c r="A35" s="5"/>
      <c r="B35" s="5"/>
      <c r="C35" s="5"/>
      <c r="D35" s="5"/>
      <c r="E35" s="68" t="s">
        <v>12549</v>
      </c>
      <c r="F35" s="69">
        <f ca="1">SUM(Table32[MONTO TOTAL ESTIMADO])</f>
        <v>100000</v>
      </c>
      <c r="G35" s="5"/>
      <c r="H35" s="5" t="str">
        <f>C27</f>
        <v>Servicios</v>
      </c>
      <c r="I35" s="5" t="str">
        <f>E27</f>
        <v>No</v>
      </c>
      <c r="J35" s="5" t="str">
        <f>D27</f>
        <v>Compras por debajo del Umbral</v>
      </c>
    </row>
    <row r="36" spans="1:10" ht="14.1" customHeight="1" thickBot="1" x14ac:dyDescent="0.3"/>
    <row r="37" spans="1:10" ht="33.75" customHeight="1" thickBot="1" x14ac:dyDescent="0.25">
      <c r="A37" s="59" t="s">
        <v>16382</v>
      </c>
      <c r="B37" s="59" t="s">
        <v>161</v>
      </c>
      <c r="C37" s="59" t="s">
        <v>11723</v>
      </c>
      <c r="D37" s="59" t="s">
        <v>14377</v>
      </c>
      <c r="E37" s="59" t="s">
        <v>10961</v>
      </c>
      <c r="F37" s="59" t="s">
        <v>11094</v>
      </c>
      <c r="G37" s="5"/>
      <c r="H37" s="5"/>
      <c r="I37" s="5"/>
      <c r="J37" s="5"/>
    </row>
    <row r="38" spans="1:10" ht="14.1" customHeight="1" thickBot="1" x14ac:dyDescent="0.25">
      <c r="A38" s="61" t="s">
        <v>18834</v>
      </c>
      <c r="B38" s="61" t="s">
        <v>18836</v>
      </c>
      <c r="C38" s="61" t="s">
        <v>6798</v>
      </c>
      <c r="D38" s="61" t="s">
        <v>1875</v>
      </c>
      <c r="E38" s="61" t="s">
        <v>17854</v>
      </c>
      <c r="F38" s="61"/>
      <c r="G38" s="5"/>
      <c r="H38" s="5"/>
      <c r="I38" s="5"/>
      <c r="J38" s="5"/>
    </row>
    <row r="39" spans="1:10" ht="14.1" customHeight="1" thickBot="1" x14ac:dyDescent="0.25">
      <c r="A39" s="82" t="s">
        <v>14828</v>
      </c>
      <c r="B39" s="62" t="s">
        <v>8528</v>
      </c>
      <c r="C39" s="71">
        <v>44287</v>
      </c>
      <c r="D39" s="82" t="s">
        <v>9385</v>
      </c>
      <c r="E39" s="62" t="s">
        <v>13092</v>
      </c>
      <c r="F39" s="61" t="s">
        <v>3080</v>
      </c>
      <c r="G39" s="5"/>
      <c r="H39" s="5"/>
      <c r="I39" s="5"/>
      <c r="J39" s="5"/>
    </row>
    <row r="40" spans="1:10" ht="14.1" customHeight="1" thickBot="1" x14ac:dyDescent="0.25">
      <c r="A40" s="83"/>
      <c r="B40" s="62" t="s">
        <v>1786</v>
      </c>
      <c r="C40" s="60">
        <f>IF(C39="","",IF(AND(MONTH(C39)&gt;=1,MONTH(C39)&lt;=3),1,IF(AND(MONTH(C39)&gt;=4,MONTH(C39)&lt;=6),2,IF(AND(MONTH(C39)&gt;=7,MONTH(C39)&lt;=9),3,4))))</f>
        <v>2</v>
      </c>
      <c r="D40" s="83"/>
      <c r="E40" s="62" t="s">
        <v>2417</v>
      </c>
      <c r="F40" s="61" t="s">
        <v>11111</v>
      </c>
      <c r="G40" s="5"/>
      <c r="H40" s="5"/>
      <c r="I40" s="5"/>
      <c r="J40" s="5"/>
    </row>
    <row r="41" spans="1:10" ht="14.1" customHeight="1" thickBot="1" x14ac:dyDescent="0.25">
      <c r="A41" s="83"/>
      <c r="B41" s="62" t="s">
        <v>12941</v>
      </c>
      <c r="C41" s="71">
        <v>44301</v>
      </c>
      <c r="D41" s="83"/>
      <c r="E41" s="62" t="s">
        <v>3073</v>
      </c>
      <c r="F41" s="61" t="s">
        <v>11111</v>
      </c>
      <c r="G41" s="5"/>
      <c r="H41" s="5"/>
      <c r="I41" s="5"/>
      <c r="J41" s="5"/>
    </row>
    <row r="42" spans="1:10" ht="14.1" customHeight="1" thickBot="1" x14ac:dyDescent="0.25">
      <c r="A42" s="83"/>
      <c r="B42" s="62" t="s">
        <v>1786</v>
      </c>
      <c r="C42" s="60">
        <f>IF(C41="","",IF(AND(MONTH(C41)&gt;=1,MONTH(C41)&lt;=3),1,IF(AND(MONTH(C41)&gt;=4,MONTH(C41)&lt;=6),2,IF(AND(MONTH(C41)&gt;=7,MONTH(C41)&lt;=9),3,4))))</f>
        <v>2</v>
      </c>
      <c r="D42" s="83"/>
      <c r="E42" s="62" t="s">
        <v>13191</v>
      </c>
      <c r="F42" s="61" t="s">
        <v>11111</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63">
        <v>82101504</v>
      </c>
      <c r="B45" s="64" t="str">
        <f ca="1">IFERROR(INDEX(UNSPSCDes,MATCH(INDIRECT(ADDRESS(ROW(),COLUMN()-1,4)),UNSPSCCode,0)),"")</f>
        <v>Publicidad en periódicos</v>
      </c>
      <c r="C45" s="63" t="s">
        <v>1449</v>
      </c>
      <c r="D45" s="63">
        <v>1</v>
      </c>
      <c r="E45" s="66">
        <v>100000</v>
      </c>
      <c r="F45" s="65">
        <f ca="1">INDIRECT(ADDRESS(ROW(),COLUMN()-2,4))*INDIRECT(ADDRESS(ROW(),COLUMN()-1,4))</f>
        <v>100000</v>
      </c>
      <c r="G45" s="5"/>
      <c r="H45" s="5"/>
      <c r="I45" s="5"/>
      <c r="J45" s="5"/>
    </row>
    <row r="46" spans="1:10" ht="13.5" customHeight="1" x14ac:dyDescent="0.2">
      <c r="A46" s="63">
        <v>82101801</v>
      </c>
      <c r="B46" s="64" t="str">
        <f ca="1">IFERROR(INDEX(UNSPSCDes,MATCH(INDIRECT(ADDRESS(ROW(),COLUMN()-1,4)),UNSPSCCode,0)),"")</f>
        <v>Servicios de campañas publicitarias</v>
      </c>
      <c r="C46" s="63" t="s">
        <v>1449</v>
      </c>
      <c r="D46" s="63">
        <v>1</v>
      </c>
      <c r="E46" s="66">
        <v>1120000</v>
      </c>
      <c r="F46" s="65">
        <f ca="1">INDIRECT(ADDRESS(ROW(),COLUMN()-2,4))*INDIRECT(ADDRESS(ROW(),COLUMN()-1,4))</f>
        <v>1120000</v>
      </c>
      <c r="G46" s="5"/>
      <c r="H46" s="5"/>
      <c r="I46" s="5"/>
      <c r="J46" s="5"/>
    </row>
    <row r="47" spans="1:10" ht="14.1" customHeight="1" x14ac:dyDescent="0.2">
      <c r="A47" s="5"/>
      <c r="B47" s="5"/>
      <c r="C47" s="5"/>
      <c r="D47" s="5"/>
      <c r="E47" s="68" t="s">
        <v>12549</v>
      </c>
      <c r="F47" s="69">
        <f ca="1">SUM(Table33[MONTO TOTAL ESTIMADO])</f>
        <v>1220000</v>
      </c>
      <c r="G47" s="5"/>
      <c r="H47" s="5" t="str">
        <f>C38</f>
        <v>Servicios</v>
      </c>
      <c r="I47" s="5" t="str">
        <f>E38</f>
        <v>No</v>
      </c>
      <c r="J47" s="5" t="str">
        <f>D38</f>
        <v>Comparacion de Precios</v>
      </c>
    </row>
    <row r="48" spans="1:10" ht="14.1" customHeight="1" thickBot="1" x14ac:dyDescent="0.3"/>
    <row r="49" spans="1:10" ht="33.75" customHeight="1" thickBot="1" x14ac:dyDescent="0.25">
      <c r="A49" s="59" t="s">
        <v>16382</v>
      </c>
      <c r="B49" s="59" t="s">
        <v>161</v>
      </c>
      <c r="C49" s="59" t="s">
        <v>11723</v>
      </c>
      <c r="D49" s="59" t="s">
        <v>14377</v>
      </c>
      <c r="E49" s="59" t="s">
        <v>10961</v>
      </c>
      <c r="F49" s="59" t="s">
        <v>11094</v>
      </c>
      <c r="G49" s="5"/>
      <c r="H49" s="5"/>
      <c r="I49" s="5"/>
      <c r="J49" s="5"/>
    </row>
    <row r="50" spans="1:10" ht="14.1" customHeight="1" thickBot="1" x14ac:dyDescent="0.25">
      <c r="A50" s="61" t="s">
        <v>18834</v>
      </c>
      <c r="B50" s="61" t="s">
        <v>18835</v>
      </c>
      <c r="C50" s="61" t="s">
        <v>6798</v>
      </c>
      <c r="D50" s="61" t="s">
        <v>10170</v>
      </c>
      <c r="E50" s="61" t="s">
        <v>17854</v>
      </c>
      <c r="F50" s="61"/>
      <c r="G50" s="5"/>
      <c r="H50" s="5"/>
      <c r="I50" s="5"/>
      <c r="J50" s="5"/>
    </row>
    <row r="51" spans="1:10" ht="14.1" customHeight="1" thickBot="1" x14ac:dyDescent="0.25">
      <c r="A51" s="82" t="s">
        <v>14828</v>
      </c>
      <c r="B51" s="62" t="s">
        <v>8528</v>
      </c>
      <c r="C51" s="71">
        <v>44378</v>
      </c>
      <c r="D51" s="82" t="s">
        <v>9385</v>
      </c>
      <c r="E51" s="62" t="s">
        <v>13092</v>
      </c>
      <c r="F51" s="61" t="s">
        <v>3080</v>
      </c>
      <c r="G51" s="5"/>
      <c r="H51" s="5"/>
      <c r="I51" s="5"/>
      <c r="J51" s="5"/>
    </row>
    <row r="52" spans="1:10" ht="14.1" customHeight="1" thickBot="1" x14ac:dyDescent="0.25">
      <c r="A52" s="83"/>
      <c r="B52" s="62" t="s">
        <v>1786</v>
      </c>
      <c r="C52" s="60">
        <f>IF(C51="","",IF(AND(MONTH(C51)&gt;=1,MONTH(C51)&lt;=3),1,IF(AND(MONTH(C51)&gt;=4,MONTH(C51)&lt;=6),2,IF(AND(MONTH(C51)&gt;=7,MONTH(C51)&lt;=9),3,4))))</f>
        <v>3</v>
      </c>
      <c r="D52" s="83"/>
      <c r="E52" s="62" t="s">
        <v>2417</v>
      </c>
      <c r="F52" s="61" t="s">
        <v>11111</v>
      </c>
      <c r="G52" s="5"/>
      <c r="H52" s="5"/>
      <c r="I52" s="5"/>
      <c r="J52" s="5"/>
    </row>
    <row r="53" spans="1:10" ht="14.1" customHeight="1" thickBot="1" x14ac:dyDescent="0.25">
      <c r="A53" s="83"/>
      <c r="B53" s="62" t="s">
        <v>12941</v>
      </c>
      <c r="C53" s="71">
        <v>44379</v>
      </c>
      <c r="D53" s="83"/>
      <c r="E53" s="62" t="s">
        <v>3073</v>
      </c>
      <c r="F53" s="61" t="s">
        <v>11111</v>
      </c>
      <c r="G53" s="5"/>
      <c r="H53" s="5"/>
      <c r="I53" s="5"/>
      <c r="J53" s="5"/>
    </row>
    <row r="54" spans="1:10" ht="14.1" customHeight="1" thickBot="1" x14ac:dyDescent="0.25">
      <c r="A54" s="83"/>
      <c r="B54" s="62" t="s">
        <v>1786</v>
      </c>
      <c r="C54" s="60">
        <f>IF(C53="","",IF(AND(MONTH(C53)&gt;=1,MONTH(C53)&lt;=3),1,IF(AND(MONTH(C53)&gt;=4,MONTH(C53)&lt;=6),2,IF(AND(MONTH(C53)&gt;=7,MONTH(C53)&lt;=9),3,4))))</f>
        <v>3</v>
      </c>
      <c r="D54" s="83"/>
      <c r="E54" s="62" t="s">
        <v>13191</v>
      </c>
      <c r="F54" s="61" t="s">
        <v>11111</v>
      </c>
      <c r="G54" s="5"/>
      <c r="H54" s="5"/>
      <c r="I54" s="5"/>
      <c r="J54" s="5"/>
    </row>
    <row r="55" spans="1:10" ht="14.1" customHeight="1" thickBot="1" x14ac:dyDescent="0.25">
      <c r="A55" s="5"/>
      <c r="B55" s="5"/>
      <c r="C55" s="5"/>
      <c r="D55" s="5"/>
      <c r="E55" s="5"/>
      <c r="F55" s="5"/>
      <c r="G55" s="5"/>
      <c r="H55" s="5"/>
      <c r="I55" s="5"/>
      <c r="J55" s="5"/>
    </row>
    <row r="56" spans="1:10" ht="14.1" customHeight="1" thickBot="1" x14ac:dyDescent="0.25">
      <c r="A56" s="67" t="s">
        <v>15735</v>
      </c>
      <c r="B56" s="67" t="s">
        <v>16146</v>
      </c>
      <c r="C56" s="67" t="s">
        <v>15641</v>
      </c>
      <c r="D56" s="67" t="s">
        <v>15251</v>
      </c>
      <c r="E56" s="67" t="s">
        <v>6932</v>
      </c>
      <c r="F56" s="67" t="s">
        <v>15280</v>
      </c>
      <c r="G56" s="5"/>
      <c r="H56" s="5"/>
      <c r="I56" s="5"/>
      <c r="J56" s="5"/>
    </row>
    <row r="57" spans="1:10" ht="13.5" customHeight="1" x14ac:dyDescent="0.2">
      <c r="A57" s="63">
        <v>82101504</v>
      </c>
      <c r="B57" s="64" t="str">
        <f ca="1">IFERROR(INDEX(UNSPSCDes,MATCH(INDIRECT(ADDRESS(ROW(),COLUMN()-1,4)),UNSPSCCode,0)),"")</f>
        <v>Publicidad en periódicos</v>
      </c>
      <c r="C57" s="63" t="s">
        <v>1449</v>
      </c>
      <c r="D57" s="63">
        <v>1</v>
      </c>
      <c r="E57" s="66">
        <v>100000</v>
      </c>
      <c r="F57" s="65">
        <f ca="1">INDIRECT(ADDRESS(ROW(),COLUMN()-2,4))*INDIRECT(ADDRESS(ROW(),COLUMN()-1,4))</f>
        <v>100000</v>
      </c>
      <c r="G57" s="5"/>
      <c r="H57" s="5"/>
      <c r="I57" s="5"/>
      <c r="J57" s="5"/>
    </row>
    <row r="58" spans="1:10" ht="14.1" customHeight="1" x14ac:dyDescent="0.2">
      <c r="A58" s="5"/>
      <c r="B58" s="5"/>
      <c r="C58" s="5"/>
      <c r="D58" s="5"/>
      <c r="E58" s="68" t="s">
        <v>12549</v>
      </c>
      <c r="F58" s="69">
        <f ca="1">SUM(Table36[MONTO TOTAL ESTIMADO])</f>
        <v>100000</v>
      </c>
      <c r="G58" s="5"/>
      <c r="H58" s="5" t="str">
        <f>C50</f>
        <v>Servicios</v>
      </c>
      <c r="I58" s="5" t="str">
        <f>E50</f>
        <v>No</v>
      </c>
      <c r="J58" s="5" t="str">
        <f>D50</f>
        <v>Compras por debajo del Umbral</v>
      </c>
    </row>
    <row r="59" spans="1:10" ht="14.1" customHeight="1" thickBot="1" x14ac:dyDescent="0.3"/>
    <row r="60" spans="1:10" ht="33.75" customHeight="1" thickBot="1" x14ac:dyDescent="0.25">
      <c r="A60" s="59" t="s">
        <v>16382</v>
      </c>
      <c r="B60" s="59" t="s">
        <v>161</v>
      </c>
      <c r="C60" s="59" t="s">
        <v>11723</v>
      </c>
      <c r="D60" s="59" t="s">
        <v>14377</v>
      </c>
      <c r="E60" s="59" t="s">
        <v>10961</v>
      </c>
      <c r="F60" s="59" t="s">
        <v>11094</v>
      </c>
      <c r="G60" s="5"/>
      <c r="H60" s="5"/>
      <c r="I60" s="5"/>
      <c r="J60" s="5"/>
    </row>
    <row r="61" spans="1:10" ht="14.1" customHeight="1" thickBot="1" x14ac:dyDescent="0.25">
      <c r="A61" s="61" t="s">
        <v>18834</v>
      </c>
      <c r="B61" s="61" t="s">
        <v>18835</v>
      </c>
      <c r="C61" s="61" t="s">
        <v>6798</v>
      </c>
      <c r="D61" s="61" t="s">
        <v>10170</v>
      </c>
      <c r="E61" s="61" t="s">
        <v>17854</v>
      </c>
      <c r="F61" s="61"/>
      <c r="G61" s="5"/>
      <c r="H61" s="5"/>
      <c r="I61" s="5"/>
      <c r="J61" s="5"/>
    </row>
    <row r="62" spans="1:10" ht="14.1" customHeight="1" thickBot="1" x14ac:dyDescent="0.25">
      <c r="A62" s="82" t="s">
        <v>14828</v>
      </c>
      <c r="B62" s="62" t="s">
        <v>8528</v>
      </c>
      <c r="C62" s="71">
        <v>44470</v>
      </c>
      <c r="D62" s="82" t="s">
        <v>9385</v>
      </c>
      <c r="E62" s="62" t="s">
        <v>13092</v>
      </c>
      <c r="F62" s="61" t="s">
        <v>3080</v>
      </c>
      <c r="G62" s="5"/>
      <c r="H62" s="5"/>
      <c r="I62" s="5"/>
      <c r="J62" s="5"/>
    </row>
    <row r="63" spans="1:10" ht="14.1" customHeight="1" thickBot="1" x14ac:dyDescent="0.25">
      <c r="A63" s="83"/>
      <c r="B63" s="62" t="s">
        <v>1786</v>
      </c>
      <c r="C63" s="60">
        <f>IF(C62="","",IF(AND(MONTH(C62)&gt;=1,MONTH(C62)&lt;=3),1,IF(AND(MONTH(C62)&gt;=4,MONTH(C62)&lt;=6),2,IF(AND(MONTH(C62)&gt;=7,MONTH(C62)&lt;=9),3,4))))</f>
        <v>4</v>
      </c>
      <c r="D63" s="83"/>
      <c r="E63" s="62" t="s">
        <v>2417</v>
      </c>
      <c r="F63" s="61" t="s">
        <v>11111</v>
      </c>
      <c r="G63" s="5"/>
      <c r="H63" s="5"/>
      <c r="I63" s="5"/>
      <c r="J63" s="5"/>
    </row>
    <row r="64" spans="1:10" ht="14.1" customHeight="1" thickBot="1" x14ac:dyDescent="0.25">
      <c r="A64" s="83"/>
      <c r="B64" s="62" t="s">
        <v>12941</v>
      </c>
      <c r="C64" s="71">
        <v>44473</v>
      </c>
      <c r="D64" s="83"/>
      <c r="E64" s="62" t="s">
        <v>3073</v>
      </c>
      <c r="F64" s="61" t="s">
        <v>11111</v>
      </c>
      <c r="G64" s="5"/>
      <c r="H64" s="5"/>
      <c r="I64" s="5"/>
      <c r="J64" s="5"/>
    </row>
    <row r="65" spans="1:10" ht="14.1" customHeight="1" thickBot="1" x14ac:dyDescent="0.25">
      <c r="A65" s="83"/>
      <c r="B65" s="62" t="s">
        <v>1786</v>
      </c>
      <c r="C65" s="60">
        <f>IF(C64="","",IF(AND(MONTH(C64)&gt;=1,MONTH(C64)&lt;=3),1,IF(AND(MONTH(C64)&gt;=4,MONTH(C64)&lt;=6),2,IF(AND(MONTH(C64)&gt;=7,MONTH(C64)&lt;=9),3,4))))</f>
        <v>4</v>
      </c>
      <c r="D65" s="83"/>
      <c r="E65" s="62" t="s">
        <v>13191</v>
      </c>
      <c r="F65" s="61" t="s">
        <v>11111</v>
      </c>
      <c r="G65" s="5"/>
      <c r="H65" s="5"/>
      <c r="I65" s="5"/>
      <c r="J65" s="5"/>
    </row>
    <row r="66" spans="1:10" ht="14.1" customHeight="1" thickBot="1" x14ac:dyDescent="0.25">
      <c r="A66" s="5"/>
      <c r="B66" s="5"/>
      <c r="C66" s="5"/>
      <c r="D66" s="5"/>
      <c r="E66" s="5"/>
      <c r="F66" s="5"/>
      <c r="G66" s="5"/>
      <c r="H66" s="5"/>
      <c r="I66" s="5"/>
      <c r="J66" s="5"/>
    </row>
    <row r="67" spans="1:10" ht="14.1" customHeight="1" thickBot="1" x14ac:dyDescent="0.25">
      <c r="A67" s="67" t="s">
        <v>15735</v>
      </c>
      <c r="B67" s="67" t="s">
        <v>16146</v>
      </c>
      <c r="C67" s="67" t="s">
        <v>15641</v>
      </c>
      <c r="D67" s="67" t="s">
        <v>15251</v>
      </c>
      <c r="E67" s="67" t="s">
        <v>6932</v>
      </c>
      <c r="F67" s="67" t="s">
        <v>15280</v>
      </c>
      <c r="G67" s="5"/>
      <c r="H67" s="5"/>
      <c r="I67" s="5"/>
      <c r="J67" s="5"/>
    </row>
    <row r="68" spans="1:10" ht="13.5" customHeight="1" x14ac:dyDescent="0.2">
      <c r="A68" s="63">
        <v>82101504</v>
      </c>
      <c r="B68" s="64" t="str">
        <f ca="1">IFERROR(INDEX(UNSPSCDes,MATCH(INDIRECT(ADDRESS(ROW(),COLUMN()-1,4)),UNSPSCCode,0)),"")</f>
        <v>Publicidad en periódicos</v>
      </c>
      <c r="C68" s="63" t="s">
        <v>1449</v>
      </c>
      <c r="D68" s="63">
        <v>1</v>
      </c>
      <c r="E68" s="66">
        <v>100000</v>
      </c>
      <c r="F68" s="65">
        <f ca="1">INDIRECT(ADDRESS(ROW(),COLUMN()-2,4))*INDIRECT(ADDRESS(ROW(),COLUMN()-1,4))</f>
        <v>100000</v>
      </c>
      <c r="G68" s="5"/>
      <c r="H68" s="5"/>
      <c r="I68" s="5"/>
      <c r="J68" s="5"/>
    </row>
    <row r="69" spans="1:10" ht="14.1" customHeight="1" x14ac:dyDescent="0.2">
      <c r="A69" s="5"/>
      <c r="B69" s="5"/>
      <c r="C69" s="5"/>
      <c r="D69" s="5"/>
      <c r="E69" s="68" t="s">
        <v>12549</v>
      </c>
      <c r="F69" s="69">
        <f ca="1">SUM(Table37[MONTO TOTAL ESTIMADO])</f>
        <v>100000</v>
      </c>
      <c r="G69" s="5"/>
      <c r="H69" s="5" t="str">
        <f>C61</f>
        <v>Servicios</v>
      </c>
      <c r="I69" s="5" t="str">
        <f>E61</f>
        <v>No</v>
      </c>
      <c r="J69" s="5" t="str">
        <f>D61</f>
        <v>Compras por debajo del Umbral</v>
      </c>
    </row>
    <row r="70" spans="1:10" ht="14.1" customHeight="1" thickBot="1" x14ac:dyDescent="0.3"/>
    <row r="71" spans="1:10" ht="33.75" customHeight="1" thickBot="1" x14ac:dyDescent="0.25">
      <c r="A71" s="59" t="s">
        <v>16382</v>
      </c>
      <c r="B71" s="59" t="s">
        <v>161</v>
      </c>
      <c r="C71" s="59" t="s">
        <v>11723</v>
      </c>
      <c r="D71" s="59" t="s">
        <v>14377</v>
      </c>
      <c r="E71" s="59" t="s">
        <v>10961</v>
      </c>
      <c r="F71" s="59" t="s">
        <v>11094</v>
      </c>
      <c r="G71" s="5"/>
      <c r="H71" s="5"/>
      <c r="I71" s="5"/>
      <c r="J71" s="5"/>
    </row>
    <row r="72" spans="1:10" ht="14.1" customHeight="1" thickBot="1" x14ac:dyDescent="0.25">
      <c r="A72" s="61" t="s">
        <v>18837</v>
      </c>
      <c r="B72" s="61" t="s">
        <v>18838</v>
      </c>
      <c r="C72" s="61" t="s">
        <v>6798</v>
      </c>
      <c r="D72" s="61" t="s">
        <v>17483</v>
      </c>
      <c r="E72" s="61" t="s">
        <v>8854</v>
      </c>
      <c r="F72" s="61"/>
      <c r="G72" s="5"/>
      <c r="H72" s="5"/>
      <c r="I72" s="5"/>
      <c r="J72" s="5"/>
    </row>
    <row r="73" spans="1:10" ht="14.1" customHeight="1" thickBot="1" x14ac:dyDescent="0.25">
      <c r="A73" s="82" t="s">
        <v>14828</v>
      </c>
      <c r="B73" s="62" t="s">
        <v>8528</v>
      </c>
      <c r="C73" s="71">
        <v>44197</v>
      </c>
      <c r="D73" s="82" t="s">
        <v>9385</v>
      </c>
      <c r="E73" s="62" t="s">
        <v>13092</v>
      </c>
      <c r="F73" s="61" t="s">
        <v>3080</v>
      </c>
      <c r="G73" s="5"/>
      <c r="H73" s="5"/>
      <c r="I73" s="5"/>
      <c r="J73" s="5"/>
    </row>
    <row r="74" spans="1:10" ht="14.1" customHeight="1" thickBot="1" x14ac:dyDescent="0.25">
      <c r="A74" s="83"/>
      <c r="B74" s="62" t="s">
        <v>1786</v>
      </c>
      <c r="C74" s="60">
        <f>IF(C73="","",IF(AND(MONTH(C73)&gt;=1,MONTH(C73)&lt;=3),1,IF(AND(MONTH(C73)&gt;=4,MONTH(C73)&lt;=6),2,IF(AND(MONTH(C73)&gt;=7,MONTH(C73)&lt;=9),3,4))))</f>
        <v>1</v>
      </c>
      <c r="D74" s="83"/>
      <c r="E74" s="62" t="s">
        <v>2417</v>
      </c>
      <c r="F74" s="61" t="s">
        <v>11111</v>
      </c>
      <c r="G74" s="5"/>
      <c r="H74" s="5"/>
      <c r="I74" s="5"/>
      <c r="J74" s="5"/>
    </row>
    <row r="75" spans="1:10" ht="14.1" customHeight="1" thickBot="1" x14ac:dyDescent="0.25">
      <c r="A75" s="83"/>
      <c r="B75" s="62" t="s">
        <v>12941</v>
      </c>
      <c r="C75" s="71">
        <v>44211</v>
      </c>
      <c r="D75" s="83"/>
      <c r="E75" s="62" t="s">
        <v>3073</v>
      </c>
      <c r="F75" s="61" t="s">
        <v>11111</v>
      </c>
      <c r="G75" s="5"/>
      <c r="H75" s="5"/>
      <c r="I75" s="5"/>
      <c r="J75" s="5"/>
    </row>
    <row r="76" spans="1:10" ht="14.1" customHeight="1" thickBot="1" x14ac:dyDescent="0.25">
      <c r="A76" s="83"/>
      <c r="B76" s="62" t="s">
        <v>1786</v>
      </c>
      <c r="C76" s="60">
        <f>IF(C75="","",IF(AND(MONTH(C75)&gt;=1,MONTH(C75)&lt;=3),1,IF(AND(MONTH(C75)&gt;=4,MONTH(C75)&lt;=6),2,IF(AND(MONTH(C75)&gt;=7,MONTH(C75)&lt;=9),3,4))))</f>
        <v>1</v>
      </c>
      <c r="D76" s="83"/>
      <c r="E76" s="62" t="s">
        <v>13191</v>
      </c>
      <c r="F76" s="61" t="s">
        <v>11111</v>
      </c>
      <c r="G76" s="5"/>
      <c r="H76" s="5"/>
      <c r="I76" s="5"/>
      <c r="J76" s="5"/>
    </row>
    <row r="77" spans="1:10" ht="14.1" customHeight="1" thickBot="1" x14ac:dyDescent="0.25">
      <c r="A77" s="5"/>
      <c r="B77" s="5"/>
      <c r="C77" s="5"/>
      <c r="D77" s="5"/>
      <c r="E77" s="5"/>
      <c r="F77" s="5"/>
      <c r="G77" s="5"/>
      <c r="H77" s="5"/>
      <c r="I77" s="5"/>
      <c r="J77" s="5"/>
    </row>
    <row r="78" spans="1:10" ht="14.1" customHeight="1" thickBot="1" x14ac:dyDescent="0.25">
      <c r="A78" s="67" t="s">
        <v>15735</v>
      </c>
      <c r="B78" s="67" t="s">
        <v>16146</v>
      </c>
      <c r="C78" s="67" t="s">
        <v>15641</v>
      </c>
      <c r="D78" s="67" t="s">
        <v>15251</v>
      </c>
      <c r="E78" s="67" t="s">
        <v>6932</v>
      </c>
      <c r="F78" s="67" t="s">
        <v>15280</v>
      </c>
      <c r="G78" s="5"/>
      <c r="H78" s="5"/>
      <c r="I78" s="5"/>
      <c r="J78" s="5"/>
    </row>
    <row r="79" spans="1:10" ht="13.5" customHeight="1" x14ac:dyDescent="0.2">
      <c r="A79" s="63">
        <v>82121505</v>
      </c>
      <c r="B79" s="64" t="str">
        <f ca="1">IFERROR(INDEX(UNSPSCDes,MATCH(INDIRECT(ADDRESS(ROW(),COLUMN()-1,4)),UNSPSCCode,0)),"")</f>
        <v>Impresión promocional o publicitaria</v>
      </c>
      <c r="C79" s="63" t="s">
        <v>1449</v>
      </c>
      <c r="D79" s="63">
        <v>1000</v>
      </c>
      <c r="E79" s="66">
        <v>17.7</v>
      </c>
      <c r="F79" s="65">
        <f ca="1">INDIRECT(ADDRESS(ROW(),COLUMN()-2,4))*INDIRECT(ADDRESS(ROW(),COLUMN()-1,4))</f>
        <v>17700</v>
      </c>
      <c r="G79" s="5"/>
      <c r="H79" s="5"/>
      <c r="I79" s="5"/>
      <c r="J79" s="5"/>
    </row>
    <row r="80" spans="1:10" ht="13.5" customHeight="1" x14ac:dyDescent="0.2">
      <c r="A80" s="63">
        <v>82121505</v>
      </c>
      <c r="B80" s="64" t="str">
        <f ca="1">IFERROR(INDEX(UNSPSCDes,MATCH(INDIRECT(ADDRESS(ROW(),COLUMN()-1,4)),UNSPSCCode,0)),"")</f>
        <v>Impresión promocional o publicitaria</v>
      </c>
      <c r="C80" s="63" t="s">
        <v>1449</v>
      </c>
      <c r="D80" s="63">
        <v>500</v>
      </c>
      <c r="E80" s="66">
        <v>300</v>
      </c>
      <c r="F80" s="65">
        <f ca="1">INDIRECT(ADDRESS(ROW(),COLUMN()-2,4))*INDIRECT(ADDRESS(ROW(),COLUMN()-1,4))</f>
        <v>150000</v>
      </c>
      <c r="G80" s="5"/>
      <c r="H80" s="5"/>
      <c r="I80" s="5"/>
      <c r="J80" s="5"/>
    </row>
    <row r="81" spans="1:10" ht="13.5" customHeight="1" x14ac:dyDescent="0.2">
      <c r="A81" s="77">
        <v>14111509</v>
      </c>
      <c r="B81" s="64" t="str">
        <f ca="1">IFERROR(INDEX(UNSPSCDes,MATCH(INDIRECT(ADDRESS(ROW(),COLUMN()-1,4)),UNSPSCCode,0)),"")</f>
        <v>Papel membreteado</v>
      </c>
      <c r="C81" s="63" t="s">
        <v>18143</v>
      </c>
      <c r="D81" s="63">
        <v>3</v>
      </c>
      <c r="E81" s="66">
        <v>20833.333299999998</v>
      </c>
      <c r="F81" s="65">
        <f ca="1">INDIRECT(ADDRESS(ROW(),COLUMN()-2,4))*INDIRECT(ADDRESS(ROW(),COLUMN()-1,4))</f>
        <v>62499.999899999995</v>
      </c>
      <c r="G81" s="5"/>
      <c r="H81" s="5"/>
      <c r="I81" s="5"/>
      <c r="J81" s="5"/>
    </row>
    <row r="82" spans="1:10" ht="14.1" customHeight="1" x14ac:dyDescent="0.2">
      <c r="A82" s="5"/>
      <c r="B82" s="5"/>
      <c r="C82" s="5"/>
      <c r="D82" s="5"/>
      <c r="E82" s="68" t="s">
        <v>12549</v>
      </c>
      <c r="F82" s="69">
        <f ca="1">SUM(Table38[MONTO TOTAL ESTIMADO])</f>
        <v>230199.9999</v>
      </c>
      <c r="G82" s="5"/>
      <c r="H82" s="5" t="str">
        <f>C72</f>
        <v>Servicios</v>
      </c>
      <c r="I82" s="5" t="str">
        <f>E72</f>
        <v>Sí</v>
      </c>
      <c r="J82" s="5" t="str">
        <f>D72</f>
        <v>Compras Menores</v>
      </c>
    </row>
    <row r="83" spans="1:10" ht="14.1" customHeight="1" thickBot="1" x14ac:dyDescent="0.3"/>
    <row r="84" spans="1:10" ht="33.75" customHeight="1" thickBot="1" x14ac:dyDescent="0.25">
      <c r="A84" s="59" t="s">
        <v>16382</v>
      </c>
      <c r="B84" s="59" t="s">
        <v>161</v>
      </c>
      <c r="C84" s="59" t="s">
        <v>11723</v>
      </c>
      <c r="D84" s="59" t="s">
        <v>14377</v>
      </c>
      <c r="E84" s="59" t="s">
        <v>10961</v>
      </c>
      <c r="F84" s="59" t="s">
        <v>11094</v>
      </c>
      <c r="G84" s="5"/>
      <c r="H84" s="5"/>
      <c r="I84" s="5"/>
      <c r="J84" s="5"/>
    </row>
    <row r="85" spans="1:10" ht="13.5" customHeight="1" thickBot="1" x14ac:dyDescent="0.25">
      <c r="A85" s="61" t="s">
        <v>18837</v>
      </c>
      <c r="B85" s="61" t="s">
        <v>18838</v>
      </c>
      <c r="C85" s="61" t="s">
        <v>6798</v>
      </c>
      <c r="D85" s="61" t="s">
        <v>10170</v>
      </c>
      <c r="E85" s="61" t="s">
        <v>8854</v>
      </c>
      <c r="F85" s="61"/>
      <c r="G85" s="5"/>
      <c r="H85" s="5"/>
      <c r="I85" s="5"/>
      <c r="J85" s="5"/>
    </row>
    <row r="86" spans="1:10" ht="14.1" customHeight="1" thickBot="1" x14ac:dyDescent="0.25">
      <c r="A86" s="82" t="s">
        <v>14828</v>
      </c>
      <c r="B86" s="62" t="s">
        <v>8528</v>
      </c>
      <c r="C86" s="71">
        <v>44287</v>
      </c>
      <c r="D86" s="82" t="s">
        <v>9385</v>
      </c>
      <c r="E86" s="62" t="s">
        <v>13092</v>
      </c>
      <c r="F86" s="61" t="s">
        <v>3080</v>
      </c>
      <c r="G86" s="5"/>
      <c r="H86" s="5"/>
      <c r="I86" s="5"/>
      <c r="J86" s="5"/>
    </row>
    <row r="87" spans="1:10" ht="14.1" customHeight="1" thickBot="1" x14ac:dyDescent="0.25">
      <c r="A87" s="83"/>
      <c r="B87" s="62" t="s">
        <v>1786</v>
      </c>
      <c r="C87" s="60">
        <f>IF(C86="","",IF(AND(MONTH(C86)&gt;=1,MONTH(C86)&lt;=3),1,IF(AND(MONTH(C86)&gt;=4,MONTH(C86)&lt;=6),2,IF(AND(MONTH(C86)&gt;=7,MONTH(C86)&lt;=9),3,4))))</f>
        <v>2</v>
      </c>
      <c r="D87" s="83"/>
      <c r="E87" s="62" t="s">
        <v>2417</v>
      </c>
      <c r="F87" s="61" t="s">
        <v>11111</v>
      </c>
      <c r="G87" s="5"/>
      <c r="H87" s="5"/>
      <c r="I87" s="5"/>
      <c r="J87" s="5"/>
    </row>
    <row r="88" spans="1:10" ht="14.1" customHeight="1" thickBot="1" x14ac:dyDescent="0.25">
      <c r="A88" s="83"/>
      <c r="B88" s="62" t="s">
        <v>12941</v>
      </c>
      <c r="C88" s="71">
        <v>44288</v>
      </c>
      <c r="D88" s="83"/>
      <c r="E88" s="62" t="s">
        <v>3073</v>
      </c>
      <c r="F88" s="61" t="s">
        <v>11111</v>
      </c>
      <c r="G88" s="5"/>
      <c r="H88" s="5"/>
      <c r="I88" s="5"/>
      <c r="J88" s="5"/>
    </row>
    <row r="89" spans="1:10" ht="14.1" customHeight="1" thickBot="1" x14ac:dyDescent="0.25">
      <c r="A89" s="83"/>
      <c r="B89" s="62" t="s">
        <v>1786</v>
      </c>
      <c r="C89" s="60">
        <f>IF(C88="","",IF(AND(MONTH(C88)&gt;=1,MONTH(C88)&lt;=3),1,IF(AND(MONTH(C88)&gt;=4,MONTH(C88)&lt;=6),2,IF(AND(MONTH(C88)&gt;=7,MONTH(C88)&lt;=9),3,4))))</f>
        <v>2</v>
      </c>
      <c r="D89" s="83"/>
      <c r="E89" s="62" t="s">
        <v>13191</v>
      </c>
      <c r="F89" s="61" t="s">
        <v>11111</v>
      </c>
      <c r="G89" s="5"/>
      <c r="H89" s="5"/>
      <c r="I89" s="5"/>
      <c r="J89" s="5"/>
    </row>
    <row r="90" spans="1:10" ht="14.1" customHeight="1" thickBot="1" x14ac:dyDescent="0.25">
      <c r="A90" s="5"/>
      <c r="B90" s="5"/>
      <c r="C90" s="5"/>
      <c r="D90" s="5"/>
      <c r="E90" s="5"/>
      <c r="F90" s="5"/>
      <c r="G90" s="5"/>
      <c r="H90" s="5"/>
      <c r="I90" s="5"/>
      <c r="J90" s="5"/>
    </row>
    <row r="91" spans="1:10" ht="14.1" customHeight="1" thickBot="1" x14ac:dyDescent="0.25">
      <c r="A91" s="67" t="s">
        <v>15735</v>
      </c>
      <c r="B91" s="67" t="s">
        <v>16146</v>
      </c>
      <c r="C91" s="67" t="s">
        <v>15641</v>
      </c>
      <c r="D91" s="67" t="s">
        <v>15251</v>
      </c>
      <c r="E91" s="67" t="s">
        <v>6932</v>
      </c>
      <c r="F91" s="67" t="s">
        <v>15280</v>
      </c>
      <c r="G91" s="5"/>
      <c r="H91" s="5"/>
      <c r="I91" s="5"/>
      <c r="J91" s="5"/>
    </row>
    <row r="92" spans="1:10" ht="13.5" customHeight="1" x14ac:dyDescent="0.2">
      <c r="A92" s="63">
        <v>82121505</v>
      </c>
      <c r="B92" s="64" t="str">
        <f ca="1">IFERROR(INDEX(UNSPSCDes,MATCH(INDIRECT(ADDRESS(ROW(),COLUMN()-1,4)),UNSPSCCode,0)),"")</f>
        <v>Impresión promocional o publicitaria</v>
      </c>
      <c r="C92" s="63" t="s">
        <v>1449</v>
      </c>
      <c r="D92" s="63">
        <v>850</v>
      </c>
      <c r="E92" s="66">
        <v>17.7</v>
      </c>
      <c r="F92" s="65">
        <f ca="1">INDIRECT(ADDRESS(ROW(),COLUMN()-2,4))*INDIRECT(ADDRESS(ROW(),COLUMN()-1,4))</f>
        <v>15045</v>
      </c>
      <c r="G92" s="5"/>
      <c r="H92" s="5"/>
      <c r="I92" s="5"/>
      <c r="J92" s="5"/>
    </row>
    <row r="93" spans="1:10" ht="13.5" customHeight="1" x14ac:dyDescent="0.2">
      <c r="A93" s="63">
        <v>82121505</v>
      </c>
      <c r="B93" s="64" t="str">
        <f ca="1">IFERROR(INDEX(UNSPSCDes,MATCH(INDIRECT(ADDRESS(ROW(),COLUMN()-1,4)),UNSPSCCode,0)),"")</f>
        <v>Impresión promocional o publicitaria</v>
      </c>
      <c r="C93" s="63" t="s">
        <v>1449</v>
      </c>
      <c r="D93" s="63">
        <v>100</v>
      </c>
      <c r="E93" s="66">
        <v>46.9</v>
      </c>
      <c r="F93" s="65">
        <f ca="1">INDIRECT(ADDRESS(ROW(),COLUMN()-2,4))*INDIRECT(ADDRESS(ROW(),COLUMN()-1,4))</f>
        <v>4690</v>
      </c>
      <c r="G93" s="5"/>
      <c r="H93" s="5"/>
      <c r="I93" s="5"/>
      <c r="J93" s="5"/>
    </row>
    <row r="94" spans="1:10" ht="13.5" customHeight="1" x14ac:dyDescent="0.2">
      <c r="A94" s="63">
        <v>14111509</v>
      </c>
      <c r="B94" s="64" t="str">
        <f ca="1">IFERROR(INDEX(UNSPSCDes,MATCH(INDIRECT(ADDRESS(ROW(),COLUMN()-1,4)),UNSPSCCode,0)),"")</f>
        <v>Papel membreteado</v>
      </c>
      <c r="C94" s="63" t="s">
        <v>18143</v>
      </c>
      <c r="D94" s="63">
        <v>3</v>
      </c>
      <c r="E94" s="66">
        <v>20833.333299999998</v>
      </c>
      <c r="F94" s="65">
        <f ca="1">INDIRECT(ADDRESS(ROW(),COLUMN()-2,4))*INDIRECT(ADDRESS(ROW(),COLUMN()-1,4))</f>
        <v>62499.999899999995</v>
      </c>
      <c r="G94" s="5"/>
      <c r="H94" s="5"/>
      <c r="I94" s="5"/>
      <c r="J94" s="5"/>
    </row>
    <row r="95" spans="1:10" ht="14.1" customHeight="1" x14ac:dyDescent="0.2">
      <c r="A95" s="5"/>
      <c r="B95" s="5"/>
      <c r="C95" s="5"/>
      <c r="D95" s="5"/>
      <c r="E95" s="68" t="s">
        <v>12549</v>
      </c>
      <c r="F95" s="69">
        <f ca="1">SUM(Table39[MONTO TOTAL ESTIMADO])</f>
        <v>82234.999899999995</v>
      </c>
      <c r="G95" s="5"/>
      <c r="H95" s="5" t="str">
        <f>C85</f>
        <v>Servicios</v>
      </c>
      <c r="I95" s="5" t="str">
        <f>E85</f>
        <v>Sí</v>
      </c>
      <c r="J95" s="5" t="str">
        <f>D85</f>
        <v>Compras por debajo del Umbral</v>
      </c>
    </row>
    <row r="96" spans="1:10" ht="14.1" customHeight="1" thickBot="1" x14ac:dyDescent="0.3"/>
    <row r="97" spans="1:10" ht="33.75" customHeight="1" thickBot="1" x14ac:dyDescent="0.25">
      <c r="A97" s="59" t="s">
        <v>16382</v>
      </c>
      <c r="B97" s="59" t="s">
        <v>161</v>
      </c>
      <c r="C97" s="59" t="s">
        <v>11723</v>
      </c>
      <c r="D97" s="59" t="s">
        <v>14377</v>
      </c>
      <c r="E97" s="59" t="s">
        <v>10961</v>
      </c>
      <c r="F97" s="59" t="s">
        <v>11094</v>
      </c>
      <c r="G97" s="5"/>
      <c r="H97" s="5"/>
      <c r="I97" s="5"/>
      <c r="J97" s="5"/>
    </row>
    <row r="98" spans="1:10" ht="13.5" customHeight="1" thickBot="1" x14ac:dyDescent="0.25">
      <c r="A98" s="61" t="s">
        <v>18837</v>
      </c>
      <c r="B98" s="61" t="s">
        <v>18838</v>
      </c>
      <c r="C98" s="61" t="s">
        <v>6798</v>
      </c>
      <c r="D98" s="61" t="s">
        <v>10170</v>
      </c>
      <c r="E98" s="61" t="s">
        <v>8854</v>
      </c>
      <c r="F98" s="61"/>
      <c r="G98" s="5"/>
      <c r="H98" s="5"/>
      <c r="I98" s="5"/>
      <c r="J98" s="5"/>
    </row>
    <row r="99" spans="1:10" ht="14.1" customHeight="1" thickBot="1" x14ac:dyDescent="0.25">
      <c r="A99" s="82" t="s">
        <v>14828</v>
      </c>
      <c r="B99" s="62" t="s">
        <v>8528</v>
      </c>
      <c r="C99" s="71">
        <v>44378</v>
      </c>
      <c r="D99" s="82" t="s">
        <v>9385</v>
      </c>
      <c r="E99" s="62" t="s">
        <v>13092</v>
      </c>
      <c r="F99" s="61" t="s">
        <v>3080</v>
      </c>
      <c r="G99" s="5"/>
      <c r="H99" s="5"/>
      <c r="I99" s="5"/>
      <c r="J99" s="5"/>
    </row>
    <row r="100" spans="1:10" ht="14.1" customHeight="1" thickBot="1" x14ac:dyDescent="0.25">
      <c r="A100" s="83"/>
      <c r="B100" s="62" t="s">
        <v>1786</v>
      </c>
      <c r="C100" s="60">
        <f>IF(C99="","",IF(AND(MONTH(C99)&gt;=1,MONTH(C99)&lt;=3),1,IF(AND(MONTH(C99)&gt;=4,MONTH(C99)&lt;=6),2,IF(AND(MONTH(C99)&gt;=7,MONTH(C99)&lt;=9),3,4))))</f>
        <v>3</v>
      </c>
      <c r="D100" s="83"/>
      <c r="E100" s="62" t="s">
        <v>2417</v>
      </c>
      <c r="F100" s="61" t="s">
        <v>11111</v>
      </c>
      <c r="G100" s="5"/>
      <c r="H100" s="5"/>
      <c r="I100" s="5"/>
      <c r="J100" s="5"/>
    </row>
    <row r="101" spans="1:10" ht="14.1" customHeight="1" thickBot="1" x14ac:dyDescent="0.25">
      <c r="A101" s="83"/>
      <c r="B101" s="62" t="s">
        <v>12941</v>
      </c>
      <c r="C101" s="71">
        <v>44379</v>
      </c>
      <c r="D101" s="83"/>
      <c r="E101" s="62" t="s">
        <v>3073</v>
      </c>
      <c r="F101" s="61" t="s">
        <v>11111</v>
      </c>
      <c r="G101" s="5"/>
      <c r="H101" s="5"/>
      <c r="I101" s="5"/>
      <c r="J101" s="5"/>
    </row>
    <row r="102" spans="1:10" ht="14.1" customHeight="1" thickBot="1" x14ac:dyDescent="0.25">
      <c r="A102" s="83"/>
      <c r="B102" s="62" t="s">
        <v>1786</v>
      </c>
      <c r="C102" s="60">
        <f>IF(C101="","",IF(AND(MONTH(C101)&gt;=1,MONTH(C101)&lt;=3),1,IF(AND(MONTH(C101)&gt;=4,MONTH(C101)&lt;=6),2,IF(AND(MONTH(C101)&gt;=7,MONTH(C101)&lt;=9),3,4))))</f>
        <v>3</v>
      </c>
      <c r="D102" s="83"/>
      <c r="E102" s="62" t="s">
        <v>13191</v>
      </c>
      <c r="F102" s="61" t="s">
        <v>11111</v>
      </c>
      <c r="G102" s="5"/>
      <c r="H102" s="5"/>
      <c r="I102" s="5"/>
      <c r="J102" s="5"/>
    </row>
    <row r="103" spans="1:10" ht="14.1" customHeight="1" thickBot="1" x14ac:dyDescent="0.25">
      <c r="A103" s="5"/>
      <c r="B103" s="5"/>
      <c r="C103" s="5"/>
      <c r="D103" s="5"/>
      <c r="E103" s="5"/>
      <c r="F103" s="5"/>
      <c r="G103" s="5"/>
      <c r="H103" s="5"/>
      <c r="I103" s="5"/>
      <c r="J103" s="5"/>
    </row>
    <row r="104" spans="1:10" ht="14.1" customHeight="1" thickBot="1" x14ac:dyDescent="0.25">
      <c r="A104" s="67" t="s">
        <v>15735</v>
      </c>
      <c r="B104" s="67" t="s">
        <v>16146</v>
      </c>
      <c r="C104" s="67" t="s">
        <v>15641</v>
      </c>
      <c r="D104" s="67" t="s">
        <v>15251</v>
      </c>
      <c r="E104" s="67" t="s">
        <v>6932</v>
      </c>
      <c r="F104" s="67" t="s">
        <v>15280</v>
      </c>
      <c r="G104" s="5"/>
      <c r="H104" s="5"/>
      <c r="I104" s="5"/>
      <c r="J104" s="5"/>
    </row>
    <row r="105" spans="1:10" ht="13.5" customHeight="1" x14ac:dyDescent="0.2">
      <c r="A105" s="63">
        <v>14111509</v>
      </c>
      <c r="B105" s="64" t="str">
        <f ca="1">IFERROR(INDEX(UNSPSCDes,MATCH(INDIRECT(ADDRESS(ROW(),COLUMN()-1,4)),UNSPSCCode,0)),"")</f>
        <v>Papel membreteado</v>
      </c>
      <c r="C105" s="63" t="s">
        <v>18143</v>
      </c>
      <c r="D105" s="63">
        <v>3</v>
      </c>
      <c r="E105" s="66">
        <v>20833.333299999998</v>
      </c>
      <c r="F105" s="65">
        <f ca="1">INDIRECT(ADDRESS(ROW(),COLUMN()-2,4))*INDIRECT(ADDRESS(ROW(),COLUMN()-1,4))</f>
        <v>62499.999899999995</v>
      </c>
      <c r="G105" s="5"/>
      <c r="H105" s="5"/>
      <c r="I105" s="5"/>
      <c r="J105" s="5"/>
    </row>
    <row r="106" spans="1:10" ht="14.1" customHeight="1" x14ac:dyDescent="0.2">
      <c r="A106" s="5"/>
      <c r="B106" s="5"/>
      <c r="C106" s="5"/>
      <c r="D106" s="5"/>
      <c r="E106" s="68" t="s">
        <v>12549</v>
      </c>
      <c r="F106" s="69">
        <f ca="1">SUM(Table310[MONTO TOTAL ESTIMADO])</f>
        <v>62499.999899999995</v>
      </c>
      <c r="G106" s="5"/>
      <c r="H106" s="5" t="str">
        <f>C98</f>
        <v>Servicios</v>
      </c>
      <c r="I106" s="5" t="str">
        <f>E98</f>
        <v>Sí</v>
      </c>
      <c r="J106" s="5" t="str">
        <f>D98</f>
        <v>Compras por debajo del Umbral</v>
      </c>
    </row>
    <row r="107" spans="1:10" ht="14.1" customHeight="1" thickBot="1" x14ac:dyDescent="0.3"/>
    <row r="108" spans="1:10" ht="33.75" customHeight="1" thickBot="1" x14ac:dyDescent="0.25">
      <c r="A108" s="59" t="s">
        <v>16382</v>
      </c>
      <c r="B108" s="59" t="s">
        <v>161</v>
      </c>
      <c r="C108" s="59" t="s">
        <v>11723</v>
      </c>
      <c r="D108" s="59" t="s">
        <v>14377</v>
      </c>
      <c r="E108" s="59" t="s">
        <v>10961</v>
      </c>
      <c r="F108" s="59" t="s">
        <v>11094</v>
      </c>
      <c r="G108" s="5"/>
      <c r="H108" s="5"/>
      <c r="I108" s="5"/>
      <c r="J108" s="5"/>
    </row>
    <row r="109" spans="1:10" ht="13.5" customHeight="1" thickBot="1" x14ac:dyDescent="0.25">
      <c r="A109" s="61" t="s">
        <v>18837</v>
      </c>
      <c r="B109" s="61" t="s">
        <v>18838</v>
      </c>
      <c r="C109" s="61" t="s">
        <v>6798</v>
      </c>
      <c r="D109" s="61" t="s">
        <v>10170</v>
      </c>
      <c r="E109" s="61" t="s">
        <v>8854</v>
      </c>
      <c r="F109" s="61"/>
      <c r="G109" s="5"/>
      <c r="H109" s="5"/>
      <c r="I109" s="5"/>
      <c r="J109" s="5"/>
    </row>
    <row r="110" spans="1:10" ht="14.1" customHeight="1" thickBot="1" x14ac:dyDescent="0.25">
      <c r="A110" s="82" t="s">
        <v>14828</v>
      </c>
      <c r="B110" s="62" t="s">
        <v>8528</v>
      </c>
      <c r="C110" s="71">
        <v>44470</v>
      </c>
      <c r="D110" s="82" t="s">
        <v>9385</v>
      </c>
      <c r="E110" s="62" t="s">
        <v>13092</v>
      </c>
      <c r="F110" s="61" t="s">
        <v>3080</v>
      </c>
      <c r="G110" s="5"/>
      <c r="H110" s="5"/>
      <c r="I110" s="5"/>
      <c r="J110" s="5"/>
    </row>
    <row r="111" spans="1:10" ht="14.1" customHeight="1" thickBot="1" x14ac:dyDescent="0.25">
      <c r="A111" s="83"/>
      <c r="B111" s="62" t="s">
        <v>1786</v>
      </c>
      <c r="C111" s="60">
        <f>IF(C110="","",IF(AND(MONTH(C110)&gt;=1,MONTH(C110)&lt;=3),1,IF(AND(MONTH(C110)&gt;=4,MONTH(C110)&lt;=6),2,IF(AND(MONTH(C110)&gt;=7,MONTH(C110)&lt;=9),3,4))))</f>
        <v>4</v>
      </c>
      <c r="D111" s="83"/>
      <c r="E111" s="62" t="s">
        <v>2417</v>
      </c>
      <c r="F111" s="61" t="s">
        <v>11111</v>
      </c>
      <c r="G111" s="5"/>
      <c r="H111" s="5"/>
      <c r="I111" s="5"/>
      <c r="J111" s="5"/>
    </row>
    <row r="112" spans="1:10" ht="14.1" customHeight="1" thickBot="1" x14ac:dyDescent="0.25">
      <c r="A112" s="83"/>
      <c r="B112" s="62" t="s">
        <v>12941</v>
      </c>
      <c r="C112" s="71">
        <v>44473</v>
      </c>
      <c r="D112" s="83"/>
      <c r="E112" s="62" t="s">
        <v>3073</v>
      </c>
      <c r="F112" s="61" t="s">
        <v>11111</v>
      </c>
      <c r="G112" s="5"/>
      <c r="H112" s="5"/>
      <c r="I112" s="5"/>
      <c r="J112" s="5"/>
    </row>
    <row r="113" spans="1:10" ht="14.1" customHeight="1" thickBot="1" x14ac:dyDescent="0.25">
      <c r="A113" s="83"/>
      <c r="B113" s="62" t="s">
        <v>1786</v>
      </c>
      <c r="C113" s="60">
        <f>IF(C112="","",IF(AND(MONTH(C112)&gt;=1,MONTH(C112)&lt;=3),1,IF(AND(MONTH(C112)&gt;=4,MONTH(C112)&lt;=6),2,IF(AND(MONTH(C112)&gt;=7,MONTH(C112)&lt;=9),3,4))))</f>
        <v>4</v>
      </c>
      <c r="D113" s="83"/>
      <c r="E113" s="62" t="s">
        <v>13191</v>
      </c>
      <c r="F113" s="61" t="s">
        <v>11111</v>
      </c>
      <c r="G113" s="5"/>
      <c r="H113" s="5"/>
      <c r="I113" s="5"/>
      <c r="J113" s="5"/>
    </row>
    <row r="114" spans="1:10" ht="14.1" customHeight="1" thickBot="1" x14ac:dyDescent="0.25">
      <c r="A114" s="5"/>
      <c r="B114" s="5"/>
      <c r="C114" s="5"/>
      <c r="D114" s="5"/>
      <c r="E114" s="5"/>
      <c r="F114" s="5"/>
      <c r="G114" s="5"/>
      <c r="H114" s="5"/>
      <c r="I114" s="5"/>
      <c r="J114" s="5"/>
    </row>
    <row r="115" spans="1:10" ht="14.1" customHeight="1" thickBot="1" x14ac:dyDescent="0.25">
      <c r="A115" s="67" t="s">
        <v>15735</v>
      </c>
      <c r="B115" s="67" t="s">
        <v>16146</v>
      </c>
      <c r="C115" s="67" t="s">
        <v>15641</v>
      </c>
      <c r="D115" s="67" t="s">
        <v>15251</v>
      </c>
      <c r="E115" s="67" t="s">
        <v>6932</v>
      </c>
      <c r="F115" s="67" t="s">
        <v>15280</v>
      </c>
      <c r="G115" s="5"/>
      <c r="H115" s="5"/>
      <c r="I115" s="5"/>
      <c r="J115" s="5"/>
    </row>
    <row r="116" spans="1:10" ht="13.5" customHeight="1" x14ac:dyDescent="0.2">
      <c r="A116" s="63">
        <v>14111509</v>
      </c>
      <c r="B116" s="64" t="str">
        <f ca="1">IFERROR(INDEX(UNSPSCDes,MATCH(INDIRECT(ADDRESS(ROW(),COLUMN()-1,4)),UNSPSCCode,0)),"")</f>
        <v>Papel membreteado</v>
      </c>
      <c r="C116" s="63" t="s">
        <v>18143</v>
      </c>
      <c r="D116" s="63">
        <v>3</v>
      </c>
      <c r="E116" s="66">
        <v>20833.333299999998</v>
      </c>
      <c r="F116" s="65">
        <f ca="1">INDIRECT(ADDRESS(ROW(),COLUMN()-2,4))*INDIRECT(ADDRESS(ROW(),COLUMN()-1,4))</f>
        <v>62499.999899999995</v>
      </c>
      <c r="G116" s="5"/>
      <c r="H116" s="5"/>
      <c r="I116" s="5"/>
      <c r="J116" s="5"/>
    </row>
    <row r="117" spans="1:10" ht="14.1" customHeight="1" x14ac:dyDescent="0.2">
      <c r="A117" s="5"/>
      <c r="B117" s="5"/>
      <c r="C117" s="5"/>
      <c r="D117" s="5"/>
      <c r="E117" s="68" t="s">
        <v>12549</v>
      </c>
      <c r="F117" s="69">
        <f ca="1">SUM(Table311[MONTO TOTAL ESTIMADO])</f>
        <v>62499.999899999995</v>
      </c>
      <c r="G117" s="5"/>
      <c r="H117" s="5" t="str">
        <f>C109</f>
        <v>Servicios</v>
      </c>
      <c r="I117" s="5" t="str">
        <f>E109</f>
        <v>Sí</v>
      </c>
      <c r="J117" s="5" t="str">
        <f>D109</f>
        <v>Compras por debajo del Umbral</v>
      </c>
    </row>
    <row r="118" spans="1:10" ht="14.1" customHeight="1" thickBot="1" x14ac:dyDescent="0.3"/>
    <row r="119" spans="1:10" ht="33.75" customHeight="1" thickBot="1" x14ac:dyDescent="0.25">
      <c r="A119" s="59" t="s">
        <v>16382</v>
      </c>
      <c r="B119" s="59" t="s">
        <v>161</v>
      </c>
      <c r="C119" s="59" t="s">
        <v>11723</v>
      </c>
      <c r="D119" s="59" t="s">
        <v>14377</v>
      </c>
      <c r="E119" s="59" t="s">
        <v>10961</v>
      </c>
      <c r="F119" s="59" t="s">
        <v>11094</v>
      </c>
      <c r="G119" s="5"/>
      <c r="H119" s="5"/>
      <c r="I119" s="5"/>
      <c r="J119" s="5"/>
    </row>
    <row r="120" spans="1:10" ht="13.5" customHeight="1" thickBot="1" x14ac:dyDescent="0.25">
      <c r="A120" s="61" t="s">
        <v>18839</v>
      </c>
      <c r="B120" s="61" t="s">
        <v>18840</v>
      </c>
      <c r="C120" s="61" t="s">
        <v>6798</v>
      </c>
      <c r="D120" s="61" t="s">
        <v>10170</v>
      </c>
      <c r="E120" s="61" t="s">
        <v>17854</v>
      </c>
      <c r="F120" s="61"/>
      <c r="G120" s="5"/>
      <c r="H120" s="5"/>
      <c r="I120" s="5"/>
      <c r="J120" s="5"/>
    </row>
    <row r="121" spans="1:10" ht="14.1" customHeight="1" thickBot="1" x14ac:dyDescent="0.25">
      <c r="A121" s="82" t="s">
        <v>14828</v>
      </c>
      <c r="B121" s="62" t="s">
        <v>8528</v>
      </c>
      <c r="C121" s="71">
        <v>44287</v>
      </c>
      <c r="D121" s="82" t="s">
        <v>9385</v>
      </c>
      <c r="E121" s="62" t="s">
        <v>13092</v>
      </c>
      <c r="F121" s="61" t="s">
        <v>3080</v>
      </c>
      <c r="G121" s="5"/>
      <c r="H121" s="5"/>
      <c r="I121" s="5"/>
      <c r="J121" s="5"/>
    </row>
    <row r="122" spans="1:10" ht="14.1" customHeight="1" thickBot="1" x14ac:dyDescent="0.25">
      <c r="A122" s="83"/>
      <c r="B122" s="62" t="s">
        <v>1786</v>
      </c>
      <c r="C122" s="60">
        <f>IF(C121="","",IF(AND(MONTH(C121)&gt;=1,MONTH(C121)&lt;=3),1,IF(AND(MONTH(C121)&gt;=4,MONTH(C121)&lt;=6),2,IF(AND(MONTH(C121)&gt;=7,MONTH(C121)&lt;=9),3,4))))</f>
        <v>2</v>
      </c>
      <c r="D122" s="83"/>
      <c r="E122" s="62" t="s">
        <v>2417</v>
      </c>
      <c r="F122" s="61" t="s">
        <v>11111</v>
      </c>
      <c r="G122" s="5"/>
      <c r="H122" s="5"/>
      <c r="I122" s="5"/>
      <c r="J122" s="5"/>
    </row>
    <row r="123" spans="1:10" ht="14.1" customHeight="1" thickBot="1" x14ac:dyDescent="0.25">
      <c r="A123" s="83"/>
      <c r="B123" s="62" t="s">
        <v>12941</v>
      </c>
      <c r="C123" s="71">
        <v>44288</v>
      </c>
      <c r="D123" s="83"/>
      <c r="E123" s="62" t="s">
        <v>3073</v>
      </c>
      <c r="F123" s="61" t="s">
        <v>11111</v>
      </c>
      <c r="G123" s="5"/>
      <c r="H123" s="5"/>
      <c r="I123" s="5"/>
      <c r="J123" s="5"/>
    </row>
    <row r="124" spans="1:10" ht="14.1" customHeight="1" thickBot="1" x14ac:dyDescent="0.25">
      <c r="A124" s="83"/>
      <c r="B124" s="62" t="s">
        <v>1786</v>
      </c>
      <c r="C124" s="60">
        <f>IF(C123="","",IF(AND(MONTH(C123)&gt;=1,MONTH(C123)&lt;=3),1,IF(AND(MONTH(C123)&gt;=4,MONTH(C123)&lt;=6),2,IF(AND(MONTH(C123)&gt;=7,MONTH(C123)&lt;=9),3,4))))</f>
        <v>2</v>
      </c>
      <c r="D124" s="83"/>
      <c r="E124" s="62" t="s">
        <v>13191</v>
      </c>
      <c r="F124" s="61" t="s">
        <v>11111</v>
      </c>
      <c r="G124" s="5"/>
      <c r="H124" s="5"/>
      <c r="I124" s="5"/>
      <c r="J124" s="5"/>
    </row>
    <row r="125" spans="1:10" ht="14.1" customHeight="1" thickBot="1" x14ac:dyDescent="0.25">
      <c r="A125" s="5"/>
      <c r="B125" s="5"/>
      <c r="C125" s="5"/>
      <c r="D125" s="5"/>
      <c r="E125" s="5"/>
      <c r="F125" s="5"/>
      <c r="G125" s="5"/>
      <c r="H125" s="5"/>
      <c r="I125" s="5"/>
      <c r="J125" s="5"/>
    </row>
    <row r="126" spans="1:10" ht="14.1" customHeight="1" thickBot="1" x14ac:dyDescent="0.25">
      <c r="A126" s="67" t="s">
        <v>15735</v>
      </c>
      <c r="B126" s="67" t="s">
        <v>16146</v>
      </c>
      <c r="C126" s="67" t="s">
        <v>15641</v>
      </c>
      <c r="D126" s="67" t="s">
        <v>15251</v>
      </c>
      <c r="E126" s="67" t="s">
        <v>6932</v>
      </c>
      <c r="F126" s="67" t="s">
        <v>15280</v>
      </c>
      <c r="G126" s="5"/>
      <c r="H126" s="5"/>
      <c r="I126" s="5"/>
      <c r="J126" s="5"/>
    </row>
    <row r="127" spans="1:10" ht="13.5" customHeight="1" x14ac:dyDescent="0.2">
      <c r="A127" s="63">
        <v>78111502</v>
      </c>
      <c r="B127" s="64" t="str">
        <f ca="1">IFERROR(INDEX(UNSPSCDes,MATCH(INDIRECT(ADDRESS(ROW(),COLUMN()-1,4)),UNSPSCCode,0)),"")</f>
        <v>Viajes en aviones comerciales</v>
      </c>
      <c r="C127" s="63" t="s">
        <v>1449</v>
      </c>
      <c r="D127" s="63">
        <v>1</v>
      </c>
      <c r="E127" s="66">
        <v>34650</v>
      </c>
      <c r="F127" s="65">
        <f ca="1">INDIRECT(ADDRESS(ROW(),COLUMN()-2,4))*INDIRECT(ADDRESS(ROW(),COLUMN()-1,4))</f>
        <v>34650</v>
      </c>
      <c r="G127" s="5"/>
      <c r="H127" s="5"/>
      <c r="I127" s="5"/>
      <c r="J127" s="5"/>
    </row>
    <row r="128" spans="1:10" ht="13.5" customHeight="1" x14ac:dyDescent="0.2">
      <c r="A128" s="63">
        <v>78111502</v>
      </c>
      <c r="B128" s="64" t="str">
        <f ca="1">IFERROR(INDEX(UNSPSCDes,MATCH(INDIRECT(ADDRESS(ROW(),COLUMN()-1,4)),UNSPSCCode,0)),"")</f>
        <v>Viajes en aviones comerciales</v>
      </c>
      <c r="C128" s="63" t="s">
        <v>1449</v>
      </c>
      <c r="D128" s="63">
        <v>1</v>
      </c>
      <c r="E128" s="66">
        <v>75600</v>
      </c>
      <c r="F128" s="65">
        <f ca="1">INDIRECT(ADDRESS(ROW(),COLUMN()-2,4))*INDIRECT(ADDRESS(ROW(),COLUMN()-1,4))</f>
        <v>75600</v>
      </c>
      <c r="G128" s="5"/>
      <c r="H128" s="5"/>
      <c r="I128" s="5"/>
      <c r="J128" s="5"/>
    </row>
    <row r="129" spans="1:10" ht="14.1" customHeight="1" x14ac:dyDescent="0.2">
      <c r="A129" s="5"/>
      <c r="B129" s="5"/>
      <c r="C129" s="5"/>
      <c r="D129" s="5"/>
      <c r="E129" s="68" t="s">
        <v>12549</v>
      </c>
      <c r="F129" s="69">
        <f ca="1">SUM(Table312[MONTO TOTAL ESTIMADO])</f>
        <v>110250</v>
      </c>
      <c r="G129" s="5"/>
      <c r="H129" s="5" t="str">
        <f>C120</f>
        <v>Servicios</v>
      </c>
      <c r="I129" s="5" t="str">
        <f>E120</f>
        <v>No</v>
      </c>
      <c r="J129" s="5" t="str">
        <f>D120</f>
        <v>Compras por debajo del Umbral</v>
      </c>
    </row>
    <row r="130" spans="1:10" ht="14.1" customHeight="1" thickBot="1" x14ac:dyDescent="0.3"/>
    <row r="131" spans="1:10" ht="33.75" customHeight="1" thickBot="1" x14ac:dyDescent="0.25">
      <c r="A131" s="59" t="s">
        <v>16382</v>
      </c>
      <c r="B131" s="59" t="s">
        <v>161</v>
      </c>
      <c r="C131" s="59" t="s">
        <v>11723</v>
      </c>
      <c r="D131" s="59" t="s">
        <v>14377</v>
      </c>
      <c r="E131" s="59" t="s">
        <v>10961</v>
      </c>
      <c r="F131" s="59" t="s">
        <v>11094</v>
      </c>
      <c r="G131" s="5"/>
      <c r="H131" s="5"/>
      <c r="I131" s="5"/>
      <c r="J131" s="5"/>
    </row>
    <row r="132" spans="1:10" ht="14.1" customHeight="1" thickBot="1" x14ac:dyDescent="0.25">
      <c r="A132" s="61" t="s">
        <v>18839</v>
      </c>
      <c r="B132" s="61" t="s">
        <v>18840</v>
      </c>
      <c r="C132" s="61" t="s">
        <v>6798</v>
      </c>
      <c r="D132" s="61" t="s">
        <v>10170</v>
      </c>
      <c r="E132" s="61" t="s">
        <v>17854</v>
      </c>
      <c r="F132" s="61"/>
      <c r="G132" s="5"/>
      <c r="H132" s="5"/>
      <c r="I132" s="5"/>
      <c r="J132" s="5"/>
    </row>
    <row r="133" spans="1:10" ht="14.1" customHeight="1" thickBot="1" x14ac:dyDescent="0.25">
      <c r="A133" s="82" t="s">
        <v>14828</v>
      </c>
      <c r="B133" s="62" t="s">
        <v>8528</v>
      </c>
      <c r="C133" s="71">
        <v>44378</v>
      </c>
      <c r="D133" s="82" t="s">
        <v>9385</v>
      </c>
      <c r="E133" s="62" t="s">
        <v>13092</v>
      </c>
      <c r="F133" s="61" t="s">
        <v>3080</v>
      </c>
      <c r="G133" s="5"/>
      <c r="H133" s="5"/>
      <c r="I133" s="5"/>
      <c r="J133" s="5"/>
    </row>
    <row r="134" spans="1:10" ht="14.1" customHeight="1" thickBot="1" x14ac:dyDescent="0.25">
      <c r="A134" s="83"/>
      <c r="B134" s="62" t="s">
        <v>1786</v>
      </c>
      <c r="C134" s="60">
        <f>IF(C133="","",IF(AND(MONTH(C133)&gt;=1,MONTH(C133)&lt;=3),1,IF(AND(MONTH(C133)&gt;=4,MONTH(C133)&lt;=6),2,IF(AND(MONTH(C133)&gt;=7,MONTH(C133)&lt;=9),3,4))))</f>
        <v>3</v>
      </c>
      <c r="D134" s="83"/>
      <c r="E134" s="62" t="s">
        <v>2417</v>
      </c>
      <c r="F134" s="61" t="s">
        <v>11111</v>
      </c>
      <c r="G134" s="5"/>
      <c r="H134" s="5"/>
      <c r="I134" s="5"/>
      <c r="J134" s="5"/>
    </row>
    <row r="135" spans="1:10" ht="14.1" customHeight="1" thickBot="1" x14ac:dyDescent="0.25">
      <c r="A135" s="83"/>
      <c r="B135" s="62" t="s">
        <v>12941</v>
      </c>
      <c r="C135" s="71">
        <v>44379</v>
      </c>
      <c r="D135" s="83"/>
      <c r="E135" s="62" t="s">
        <v>3073</v>
      </c>
      <c r="F135" s="61" t="s">
        <v>11111</v>
      </c>
      <c r="G135" s="5"/>
      <c r="H135" s="5"/>
      <c r="I135" s="5"/>
      <c r="J135" s="5"/>
    </row>
    <row r="136" spans="1:10" ht="14.1" customHeight="1" thickBot="1" x14ac:dyDescent="0.25">
      <c r="A136" s="83"/>
      <c r="B136" s="62" t="s">
        <v>1786</v>
      </c>
      <c r="C136" s="60">
        <f>IF(C135="","",IF(AND(MONTH(C135)&gt;=1,MONTH(C135)&lt;=3),1,IF(AND(MONTH(C135)&gt;=4,MONTH(C135)&lt;=6),2,IF(AND(MONTH(C135)&gt;=7,MONTH(C135)&lt;=9),3,4))))</f>
        <v>3</v>
      </c>
      <c r="D136" s="83"/>
      <c r="E136" s="62" t="s">
        <v>13191</v>
      </c>
      <c r="F136" s="61" t="s">
        <v>11111</v>
      </c>
      <c r="G136" s="5"/>
      <c r="H136" s="5"/>
      <c r="I136" s="5"/>
      <c r="J136" s="5"/>
    </row>
    <row r="137" spans="1:10" ht="14.1" customHeight="1" thickBot="1" x14ac:dyDescent="0.25">
      <c r="A137" s="5"/>
      <c r="B137" s="5"/>
      <c r="C137" s="5"/>
      <c r="D137" s="5"/>
      <c r="E137" s="5"/>
      <c r="F137" s="5"/>
      <c r="G137" s="5"/>
      <c r="H137" s="5"/>
      <c r="I137" s="5"/>
      <c r="J137" s="5"/>
    </row>
    <row r="138" spans="1:10" ht="14.1" customHeight="1" thickBot="1" x14ac:dyDescent="0.25">
      <c r="A138" s="67" t="s">
        <v>15735</v>
      </c>
      <c r="B138" s="67" t="s">
        <v>16146</v>
      </c>
      <c r="C138" s="67" t="s">
        <v>15641</v>
      </c>
      <c r="D138" s="67" t="s">
        <v>15251</v>
      </c>
      <c r="E138" s="67" t="s">
        <v>6932</v>
      </c>
      <c r="F138" s="67" t="s">
        <v>15280</v>
      </c>
      <c r="G138" s="5"/>
      <c r="H138" s="5"/>
      <c r="I138" s="5"/>
      <c r="J138" s="5"/>
    </row>
    <row r="139" spans="1:10" ht="13.5" customHeight="1" x14ac:dyDescent="0.2">
      <c r="A139" s="63">
        <v>78111502</v>
      </c>
      <c r="B139" s="64" t="str">
        <f ca="1">IFERROR(INDEX(UNSPSCDes,MATCH(INDIRECT(ADDRESS(ROW(),COLUMN()-1,4)),UNSPSCCode,0)),"")</f>
        <v>Viajes en aviones comerciales</v>
      </c>
      <c r="C139" s="63" t="s">
        <v>1449</v>
      </c>
      <c r="D139" s="63">
        <v>1</v>
      </c>
      <c r="E139" s="66">
        <v>59850</v>
      </c>
      <c r="F139" s="65">
        <f ca="1">INDIRECT(ADDRESS(ROW(),COLUMN()-2,4))*INDIRECT(ADDRESS(ROW(),COLUMN()-1,4))</f>
        <v>59850</v>
      </c>
      <c r="G139" s="5"/>
      <c r="H139" s="5"/>
      <c r="I139" s="5"/>
      <c r="J139" s="5"/>
    </row>
    <row r="140" spans="1:10" ht="13.5" customHeight="1" x14ac:dyDescent="0.2">
      <c r="A140" s="63">
        <v>78111502</v>
      </c>
      <c r="B140" s="64" t="str">
        <f ca="1">IFERROR(INDEX(UNSPSCDes,MATCH(INDIRECT(ADDRESS(ROW(),COLUMN()-1,4)),UNSPSCCode,0)),"")</f>
        <v>Viajes en aviones comerciales</v>
      </c>
      <c r="C140" s="63" t="s">
        <v>1449</v>
      </c>
      <c r="D140" s="63">
        <v>1</v>
      </c>
      <c r="E140" s="66">
        <v>78000</v>
      </c>
      <c r="F140" s="65">
        <f ca="1">INDIRECT(ADDRESS(ROW(),COLUMN()-2,4))*INDIRECT(ADDRESS(ROW(),COLUMN()-1,4))</f>
        <v>78000</v>
      </c>
      <c r="G140" s="5"/>
      <c r="H140" s="5"/>
      <c r="I140" s="5"/>
      <c r="J140" s="5"/>
    </row>
    <row r="141" spans="1:10" ht="14.1" customHeight="1" x14ac:dyDescent="0.2">
      <c r="A141" s="5"/>
      <c r="B141" s="5"/>
      <c r="C141" s="5"/>
      <c r="D141" s="5"/>
      <c r="E141" s="68" t="s">
        <v>12549</v>
      </c>
      <c r="F141" s="69">
        <f ca="1">SUM(Table313[MONTO TOTAL ESTIMADO])</f>
        <v>137850</v>
      </c>
      <c r="G141" s="5"/>
      <c r="H141" s="5" t="str">
        <f>C132</f>
        <v>Servicios</v>
      </c>
      <c r="I141" s="5" t="str">
        <f>E132</f>
        <v>No</v>
      </c>
      <c r="J141" s="5" t="str">
        <f>D132</f>
        <v>Compras por debajo del Umbral</v>
      </c>
    </row>
    <row r="142" spans="1:10" ht="14.1" customHeight="1" thickBot="1" x14ac:dyDescent="0.3"/>
    <row r="143" spans="1:10" ht="33.75" customHeight="1" thickBot="1" x14ac:dyDescent="0.25">
      <c r="A143" s="59" t="s">
        <v>16382</v>
      </c>
      <c r="B143" s="59" t="s">
        <v>161</v>
      </c>
      <c r="C143" s="59" t="s">
        <v>11723</v>
      </c>
      <c r="D143" s="59" t="s">
        <v>14377</v>
      </c>
      <c r="E143" s="59" t="s">
        <v>10961</v>
      </c>
      <c r="F143" s="59" t="s">
        <v>11094</v>
      </c>
      <c r="G143" s="5"/>
      <c r="H143" s="5"/>
      <c r="I143" s="5"/>
      <c r="J143" s="5"/>
    </row>
    <row r="144" spans="1:10" ht="14.1" customHeight="1" thickBot="1" x14ac:dyDescent="0.25">
      <c r="A144" s="61" t="s">
        <v>18839</v>
      </c>
      <c r="B144" s="61" t="s">
        <v>18840</v>
      </c>
      <c r="C144" s="61" t="s">
        <v>6798</v>
      </c>
      <c r="D144" s="61" t="s">
        <v>17483</v>
      </c>
      <c r="E144" s="61" t="s">
        <v>17854</v>
      </c>
      <c r="F144" s="61"/>
      <c r="G144" s="5"/>
      <c r="H144" s="5"/>
      <c r="I144" s="5"/>
      <c r="J144" s="5"/>
    </row>
    <row r="145" spans="1:10" ht="14.1" customHeight="1" thickBot="1" x14ac:dyDescent="0.25">
      <c r="A145" s="82" t="s">
        <v>14828</v>
      </c>
      <c r="B145" s="62" t="s">
        <v>8528</v>
      </c>
      <c r="C145" s="71">
        <v>44470</v>
      </c>
      <c r="D145" s="82" t="s">
        <v>9385</v>
      </c>
      <c r="E145" s="62" t="s">
        <v>13092</v>
      </c>
      <c r="F145" s="61" t="s">
        <v>3080</v>
      </c>
      <c r="G145" s="5"/>
      <c r="H145" s="5"/>
      <c r="I145" s="5"/>
      <c r="J145" s="5"/>
    </row>
    <row r="146" spans="1:10" ht="14.1" customHeight="1" thickBot="1" x14ac:dyDescent="0.25">
      <c r="A146" s="83"/>
      <c r="B146" s="62" t="s">
        <v>1786</v>
      </c>
      <c r="C146" s="60">
        <f>IF(C145="","",IF(AND(MONTH(C145)&gt;=1,MONTH(C145)&lt;=3),1,IF(AND(MONTH(C145)&gt;=4,MONTH(C145)&lt;=6),2,IF(AND(MONTH(C145)&gt;=7,MONTH(C145)&lt;=9),3,4))))</f>
        <v>4</v>
      </c>
      <c r="D146" s="83"/>
      <c r="E146" s="62" t="s">
        <v>2417</v>
      </c>
      <c r="F146" s="61" t="s">
        <v>11111</v>
      </c>
      <c r="G146" s="5"/>
      <c r="H146" s="5"/>
      <c r="I146" s="5"/>
      <c r="J146" s="5"/>
    </row>
    <row r="147" spans="1:10" ht="14.1" customHeight="1" thickBot="1" x14ac:dyDescent="0.25">
      <c r="A147" s="83"/>
      <c r="B147" s="62" t="s">
        <v>12941</v>
      </c>
      <c r="C147" s="71">
        <v>44484</v>
      </c>
      <c r="D147" s="83"/>
      <c r="E147" s="62" t="s">
        <v>3073</v>
      </c>
      <c r="F147" s="61" t="s">
        <v>11111</v>
      </c>
      <c r="G147" s="5"/>
      <c r="H147" s="5"/>
      <c r="I147" s="5"/>
      <c r="J147" s="5"/>
    </row>
    <row r="148" spans="1:10" ht="14.1" customHeight="1" thickBot="1" x14ac:dyDescent="0.25">
      <c r="A148" s="83"/>
      <c r="B148" s="62" t="s">
        <v>1786</v>
      </c>
      <c r="C148" s="60">
        <f>IF(C147="","",IF(AND(MONTH(C147)&gt;=1,MONTH(C147)&lt;=3),1,IF(AND(MONTH(C147)&gt;=4,MONTH(C147)&lt;=6),2,IF(AND(MONTH(C147)&gt;=7,MONTH(C147)&lt;=9),3,4))))</f>
        <v>4</v>
      </c>
      <c r="D148" s="83"/>
      <c r="E148" s="62" t="s">
        <v>13191</v>
      </c>
      <c r="F148" s="61" t="s">
        <v>11111</v>
      </c>
      <c r="G148" s="5"/>
      <c r="H148" s="5"/>
      <c r="I148" s="5"/>
      <c r="J148" s="5"/>
    </row>
    <row r="149" spans="1:10" ht="14.1" customHeight="1" thickBot="1" x14ac:dyDescent="0.25">
      <c r="A149" s="5"/>
      <c r="B149" s="5"/>
      <c r="C149" s="5"/>
      <c r="D149" s="5"/>
      <c r="E149" s="5"/>
      <c r="F149" s="5"/>
      <c r="G149" s="5"/>
      <c r="H149" s="5"/>
      <c r="I149" s="5"/>
      <c r="J149" s="5"/>
    </row>
    <row r="150" spans="1:10" ht="14.1" customHeight="1" thickBot="1" x14ac:dyDescent="0.25">
      <c r="A150" s="67" t="s">
        <v>15735</v>
      </c>
      <c r="B150" s="67" t="s">
        <v>16146</v>
      </c>
      <c r="C150" s="67" t="s">
        <v>15641</v>
      </c>
      <c r="D150" s="67" t="s">
        <v>15251</v>
      </c>
      <c r="E150" s="67" t="s">
        <v>6932</v>
      </c>
      <c r="F150" s="67" t="s">
        <v>15280</v>
      </c>
      <c r="G150" s="5"/>
      <c r="H150" s="5"/>
      <c r="I150" s="5"/>
      <c r="J150" s="5"/>
    </row>
    <row r="151" spans="1:10" ht="13.5" customHeight="1" x14ac:dyDescent="0.2">
      <c r="A151" s="63">
        <v>78111502</v>
      </c>
      <c r="B151" s="64" t="str">
        <f ca="1">IFERROR(INDEX(UNSPSCDes,MATCH(INDIRECT(ADDRESS(ROW(),COLUMN()-1,4)),UNSPSCCode,0)),"")</f>
        <v>Viajes en aviones comerciales</v>
      </c>
      <c r="C151" s="63" t="s">
        <v>1449</v>
      </c>
      <c r="D151" s="63">
        <v>1</v>
      </c>
      <c r="E151" s="66">
        <v>34650</v>
      </c>
      <c r="F151" s="65">
        <f ca="1">INDIRECT(ADDRESS(ROW(),COLUMN()-2,4))*INDIRECT(ADDRESS(ROW(),COLUMN()-1,4))</f>
        <v>34650</v>
      </c>
      <c r="G151" s="5"/>
      <c r="H151" s="5"/>
      <c r="I151" s="5"/>
      <c r="J151" s="5"/>
    </row>
    <row r="152" spans="1:10" ht="13.5" customHeight="1" x14ac:dyDescent="0.2">
      <c r="A152" s="63">
        <v>78111502</v>
      </c>
      <c r="B152" s="64" t="str">
        <f ca="1">IFERROR(INDEX(UNSPSCDes,MATCH(INDIRECT(ADDRESS(ROW(),COLUMN()-1,4)),UNSPSCCode,0)),"")</f>
        <v>Viajes en aviones comerciales</v>
      </c>
      <c r="C152" s="63" t="s">
        <v>1449</v>
      </c>
      <c r="D152" s="63">
        <v>1</v>
      </c>
      <c r="E152" s="66">
        <v>60000</v>
      </c>
      <c r="F152" s="65">
        <f ca="1">INDIRECT(ADDRESS(ROW(),COLUMN()-2,4))*INDIRECT(ADDRESS(ROW(),COLUMN()-1,4))</f>
        <v>60000</v>
      </c>
      <c r="G152" s="5"/>
      <c r="H152" s="5"/>
      <c r="I152" s="5"/>
      <c r="J152" s="5"/>
    </row>
    <row r="153" spans="1:10" ht="13.5" customHeight="1" x14ac:dyDescent="0.2">
      <c r="A153" s="63">
        <v>78111502</v>
      </c>
      <c r="B153" s="64" t="str">
        <f ca="1">IFERROR(INDEX(UNSPSCDes,MATCH(INDIRECT(ADDRESS(ROW(),COLUMN()-1,4)),UNSPSCCode,0)),"")</f>
        <v>Viajes en aviones comerciales</v>
      </c>
      <c r="C153" s="63" t="s">
        <v>1449</v>
      </c>
      <c r="D153" s="63">
        <v>1</v>
      </c>
      <c r="E153" s="66">
        <v>75600</v>
      </c>
      <c r="F153" s="65">
        <f ca="1">INDIRECT(ADDRESS(ROW(),COLUMN()-2,4))*INDIRECT(ADDRESS(ROW(),COLUMN()-1,4))</f>
        <v>75600</v>
      </c>
      <c r="G153" s="5"/>
      <c r="H153" s="5"/>
      <c r="I153" s="5"/>
      <c r="J153" s="5"/>
    </row>
    <row r="154" spans="1:10" ht="14.1" customHeight="1" x14ac:dyDescent="0.2">
      <c r="A154" s="5"/>
      <c r="B154" s="5"/>
      <c r="C154" s="5"/>
      <c r="D154" s="5"/>
      <c r="E154" s="68" t="s">
        <v>12549</v>
      </c>
      <c r="F154" s="69">
        <f ca="1">SUM(Table314[MONTO TOTAL ESTIMADO])</f>
        <v>170250</v>
      </c>
      <c r="G154" s="5"/>
      <c r="H154" s="5" t="str">
        <f>C144</f>
        <v>Servicios</v>
      </c>
      <c r="I154" s="5" t="str">
        <f>E144</f>
        <v>No</v>
      </c>
      <c r="J154" s="5" t="str">
        <f>D144</f>
        <v>Compras Menores</v>
      </c>
    </row>
    <row r="155" spans="1:10" ht="14.1" customHeight="1" thickBot="1" x14ac:dyDescent="0.3"/>
    <row r="156" spans="1:10" ht="33.75" customHeight="1" thickBot="1" x14ac:dyDescent="0.25">
      <c r="A156" s="59" t="s">
        <v>16382</v>
      </c>
      <c r="B156" s="59" t="s">
        <v>161</v>
      </c>
      <c r="C156" s="59" t="s">
        <v>11723</v>
      </c>
      <c r="D156" s="59" t="s">
        <v>14377</v>
      </c>
      <c r="E156" s="59" t="s">
        <v>10961</v>
      </c>
      <c r="F156" s="59" t="s">
        <v>11094</v>
      </c>
      <c r="G156" s="5"/>
      <c r="H156" s="5"/>
      <c r="I156" s="5"/>
      <c r="J156" s="5"/>
    </row>
    <row r="157" spans="1:10" ht="14.1" customHeight="1" thickBot="1" x14ac:dyDescent="0.25">
      <c r="A157" s="61" t="s">
        <v>18841</v>
      </c>
      <c r="B157" s="61" t="s">
        <v>18842</v>
      </c>
      <c r="C157" s="61" t="s">
        <v>6798</v>
      </c>
      <c r="D157" s="61" t="s">
        <v>10170</v>
      </c>
      <c r="E157" s="61" t="s">
        <v>8854</v>
      </c>
      <c r="F157" s="61"/>
      <c r="G157" s="5"/>
      <c r="H157" s="5"/>
      <c r="I157" s="5"/>
      <c r="J157" s="5"/>
    </row>
    <row r="158" spans="1:10" ht="14.1" customHeight="1" thickBot="1" x14ac:dyDescent="0.25">
      <c r="A158" s="82" t="s">
        <v>14828</v>
      </c>
      <c r="B158" s="62" t="s">
        <v>8528</v>
      </c>
      <c r="C158" s="71">
        <v>44287</v>
      </c>
      <c r="D158" s="82" t="s">
        <v>9385</v>
      </c>
      <c r="E158" s="62" t="s">
        <v>13092</v>
      </c>
      <c r="F158" s="61" t="s">
        <v>3080</v>
      </c>
      <c r="G158" s="5"/>
      <c r="H158" s="5"/>
      <c r="I158" s="5"/>
      <c r="J158" s="5"/>
    </row>
    <row r="159" spans="1:10" ht="14.1" customHeight="1" thickBot="1" x14ac:dyDescent="0.25">
      <c r="A159" s="83"/>
      <c r="B159" s="62" t="s">
        <v>1786</v>
      </c>
      <c r="C159" s="60">
        <f>IF(C158="","",IF(AND(MONTH(C158)&gt;=1,MONTH(C158)&lt;=3),1,IF(AND(MONTH(C158)&gt;=4,MONTH(C158)&lt;=6),2,IF(AND(MONTH(C158)&gt;=7,MONTH(C158)&lt;=9),3,4))))</f>
        <v>2</v>
      </c>
      <c r="D159" s="83"/>
      <c r="E159" s="62" t="s">
        <v>2417</v>
      </c>
      <c r="F159" s="61" t="s">
        <v>11111</v>
      </c>
      <c r="G159" s="5"/>
      <c r="H159" s="5"/>
      <c r="I159" s="5"/>
      <c r="J159" s="5"/>
    </row>
    <row r="160" spans="1:10" ht="14.1" customHeight="1" thickBot="1" x14ac:dyDescent="0.25">
      <c r="A160" s="83"/>
      <c r="B160" s="62" t="s">
        <v>12941</v>
      </c>
      <c r="C160" s="71">
        <v>44288</v>
      </c>
      <c r="D160" s="83"/>
      <c r="E160" s="62" t="s">
        <v>3073</v>
      </c>
      <c r="F160" s="61" t="s">
        <v>11111</v>
      </c>
      <c r="G160" s="5"/>
      <c r="H160" s="5"/>
      <c r="I160" s="5"/>
      <c r="J160" s="5"/>
    </row>
    <row r="161" spans="1:10" ht="14.1" customHeight="1" thickBot="1" x14ac:dyDescent="0.25">
      <c r="A161" s="83"/>
      <c r="B161" s="62" t="s">
        <v>1786</v>
      </c>
      <c r="C161" s="60">
        <f>IF(C160="","",IF(AND(MONTH(C160)&gt;=1,MONTH(C160)&lt;=3),1,IF(AND(MONTH(C160)&gt;=4,MONTH(C160)&lt;=6),2,IF(AND(MONTH(C160)&gt;=7,MONTH(C160)&lt;=9),3,4))))</f>
        <v>2</v>
      </c>
      <c r="D161" s="83"/>
      <c r="E161" s="62" t="s">
        <v>13191</v>
      </c>
      <c r="F161" s="61" t="s">
        <v>11111</v>
      </c>
      <c r="G161" s="5"/>
      <c r="H161" s="5"/>
      <c r="I161" s="5"/>
      <c r="J161" s="5"/>
    </row>
    <row r="162" spans="1:10" ht="14.1" customHeight="1" thickBot="1" x14ac:dyDescent="0.25">
      <c r="A162" s="5"/>
      <c r="B162" s="5"/>
      <c r="C162" s="5"/>
      <c r="D162" s="5"/>
      <c r="E162" s="5"/>
      <c r="F162" s="5"/>
      <c r="G162" s="5"/>
      <c r="H162" s="5"/>
      <c r="I162" s="5"/>
      <c r="J162" s="5"/>
    </row>
    <row r="163" spans="1:10" ht="14.1" customHeight="1" thickBot="1" x14ac:dyDescent="0.25">
      <c r="A163" s="67" t="s">
        <v>15735</v>
      </c>
      <c r="B163" s="67" t="s">
        <v>16146</v>
      </c>
      <c r="C163" s="67" t="s">
        <v>15641</v>
      </c>
      <c r="D163" s="67" t="s">
        <v>15251</v>
      </c>
      <c r="E163" s="67" t="s">
        <v>6932</v>
      </c>
      <c r="F163" s="67" t="s">
        <v>15280</v>
      </c>
      <c r="G163" s="5"/>
      <c r="H163" s="5"/>
      <c r="I163" s="5"/>
      <c r="J163" s="5"/>
    </row>
    <row r="164" spans="1:10" ht="13.5" customHeight="1" x14ac:dyDescent="0.2">
      <c r="A164" s="63">
        <v>56112103</v>
      </c>
      <c r="B164" s="64" t="str">
        <f ca="1">IFERROR(INDEX(UNSPSCDes,MATCH(INDIRECT(ADDRESS(ROW(),COLUMN()-1,4)),UNSPSCCode,0)),"")</f>
        <v>Sillas para visitantes</v>
      </c>
      <c r="C164" s="63" t="s">
        <v>1449</v>
      </c>
      <c r="D164" s="63">
        <v>123</v>
      </c>
      <c r="E164" s="66">
        <v>118</v>
      </c>
      <c r="F164" s="65">
        <f ca="1">INDIRECT(ADDRESS(ROW(),COLUMN()-2,4))*INDIRECT(ADDRESS(ROW(),COLUMN()-1,4))</f>
        <v>14514</v>
      </c>
      <c r="G164" s="5"/>
      <c r="H164" s="5"/>
      <c r="I164" s="5"/>
      <c r="J164" s="5"/>
    </row>
    <row r="165" spans="1:10" ht="13.5" customHeight="1" x14ac:dyDescent="0.2">
      <c r="A165" s="63">
        <v>56121501</v>
      </c>
      <c r="B165" s="64" t="str">
        <f ca="1">IFERROR(INDEX(UNSPSCDes,MATCH(INDIRECT(ADDRESS(ROW(),COLUMN()-1,4)),UNSPSCCode,0)),"")</f>
        <v>Mesas para actividades</v>
      </c>
      <c r="C165" s="63" t="s">
        <v>1449</v>
      </c>
      <c r="D165" s="63">
        <v>11</v>
      </c>
      <c r="E165" s="66">
        <v>472</v>
      </c>
      <c r="F165" s="65">
        <f ca="1">INDIRECT(ADDRESS(ROW(),COLUMN()-2,4))*INDIRECT(ADDRESS(ROW(),COLUMN()-1,4))</f>
        <v>5192</v>
      </c>
      <c r="G165" s="5"/>
      <c r="H165" s="5"/>
      <c r="I165" s="5"/>
      <c r="J165" s="5"/>
    </row>
    <row r="166" spans="1:10" ht="13.5" customHeight="1" x14ac:dyDescent="0.2">
      <c r="A166" s="63">
        <v>52121604</v>
      </c>
      <c r="B166" s="64" t="str">
        <f ca="1">IFERROR(INDEX(UNSPSCDes,MATCH(INDIRECT(ADDRESS(ROW(),COLUMN()-1,4)),UNSPSCCode,0)),"")</f>
        <v>Manteles</v>
      </c>
      <c r="C166" s="63" t="s">
        <v>1449</v>
      </c>
      <c r="D166" s="63">
        <v>1</v>
      </c>
      <c r="E166" s="66">
        <v>472</v>
      </c>
      <c r="F166" s="65">
        <f ca="1">INDIRECT(ADDRESS(ROW(),COLUMN()-2,4))*INDIRECT(ADDRESS(ROW(),COLUMN()-1,4))</f>
        <v>472</v>
      </c>
      <c r="G166" s="5"/>
      <c r="H166" s="5"/>
      <c r="I166" s="5"/>
      <c r="J166" s="5"/>
    </row>
    <row r="167" spans="1:10" ht="14.1" customHeight="1" x14ac:dyDescent="0.2">
      <c r="A167" s="5"/>
      <c r="B167" s="5"/>
      <c r="C167" s="5"/>
      <c r="D167" s="5"/>
      <c r="E167" s="68" t="s">
        <v>12549</v>
      </c>
      <c r="F167" s="69">
        <f ca="1">SUM(Table317[MONTO TOTAL ESTIMADO])</f>
        <v>20178</v>
      </c>
      <c r="G167" s="5"/>
      <c r="H167" s="5" t="str">
        <f>C157</f>
        <v>Servicios</v>
      </c>
      <c r="I167" s="5" t="str">
        <f>E157</f>
        <v>Sí</v>
      </c>
      <c r="J167" s="5" t="str">
        <f>D157</f>
        <v>Compras por debajo del Umbral</v>
      </c>
    </row>
    <row r="168" spans="1:10" ht="14.1" customHeight="1" thickBot="1" x14ac:dyDescent="0.3"/>
    <row r="169" spans="1:10" ht="33.75" customHeight="1" thickBot="1" x14ac:dyDescent="0.25">
      <c r="A169" s="59" t="s">
        <v>16382</v>
      </c>
      <c r="B169" s="59" t="s">
        <v>161</v>
      </c>
      <c r="C169" s="59" t="s">
        <v>11723</v>
      </c>
      <c r="D169" s="59" t="s">
        <v>14377</v>
      </c>
      <c r="E169" s="59" t="s">
        <v>10961</v>
      </c>
      <c r="F169" s="59" t="s">
        <v>11094</v>
      </c>
      <c r="G169" s="5"/>
      <c r="H169" s="5"/>
      <c r="I169" s="5"/>
      <c r="J169" s="5"/>
    </row>
    <row r="170" spans="1:10" ht="14.1" customHeight="1" thickBot="1" x14ac:dyDescent="0.25">
      <c r="A170" s="61" t="s">
        <v>18841</v>
      </c>
      <c r="B170" s="61" t="s">
        <v>18842</v>
      </c>
      <c r="C170" s="61" t="s">
        <v>6798</v>
      </c>
      <c r="D170" s="61" t="s">
        <v>10170</v>
      </c>
      <c r="E170" s="61" t="s">
        <v>8854</v>
      </c>
      <c r="F170" s="61"/>
      <c r="G170" s="5"/>
      <c r="H170" s="5"/>
      <c r="I170" s="5"/>
      <c r="J170" s="5"/>
    </row>
    <row r="171" spans="1:10" ht="14.1" customHeight="1" thickBot="1" x14ac:dyDescent="0.25">
      <c r="A171" s="82" t="s">
        <v>14828</v>
      </c>
      <c r="B171" s="62" t="s">
        <v>8528</v>
      </c>
      <c r="C171" s="71">
        <v>44378</v>
      </c>
      <c r="D171" s="82" t="s">
        <v>9385</v>
      </c>
      <c r="E171" s="62" t="s">
        <v>13092</v>
      </c>
      <c r="F171" s="61" t="s">
        <v>3080</v>
      </c>
      <c r="G171" s="5"/>
      <c r="H171" s="5"/>
      <c r="I171" s="5"/>
      <c r="J171" s="5"/>
    </row>
    <row r="172" spans="1:10" ht="14.1" customHeight="1" thickBot="1" x14ac:dyDescent="0.25">
      <c r="A172" s="83"/>
      <c r="B172" s="62" t="s">
        <v>1786</v>
      </c>
      <c r="C172" s="60">
        <f>IF(C171="","",IF(AND(MONTH(C171)&gt;=1,MONTH(C171)&lt;=3),1,IF(AND(MONTH(C171)&gt;=4,MONTH(C171)&lt;=6),2,IF(AND(MONTH(C171)&gt;=7,MONTH(C171)&lt;=9),3,4))))</f>
        <v>3</v>
      </c>
      <c r="D172" s="83"/>
      <c r="E172" s="62" t="s">
        <v>2417</v>
      </c>
      <c r="F172" s="61" t="s">
        <v>11111</v>
      </c>
      <c r="G172" s="5"/>
      <c r="H172" s="5"/>
      <c r="I172" s="5"/>
      <c r="J172" s="5"/>
    </row>
    <row r="173" spans="1:10" ht="14.1" customHeight="1" thickBot="1" x14ac:dyDescent="0.25">
      <c r="A173" s="83"/>
      <c r="B173" s="62" t="s">
        <v>12941</v>
      </c>
      <c r="C173" s="71">
        <v>44379</v>
      </c>
      <c r="D173" s="83"/>
      <c r="E173" s="62" t="s">
        <v>3073</v>
      </c>
      <c r="F173" s="61" t="s">
        <v>11111</v>
      </c>
      <c r="G173" s="5"/>
      <c r="H173" s="5"/>
      <c r="I173" s="5"/>
      <c r="J173" s="5"/>
    </row>
    <row r="174" spans="1:10" ht="14.1" customHeight="1" thickBot="1" x14ac:dyDescent="0.25">
      <c r="A174" s="83"/>
      <c r="B174" s="62" t="s">
        <v>1786</v>
      </c>
      <c r="C174" s="60">
        <f>IF(C173="","",IF(AND(MONTH(C173)&gt;=1,MONTH(C173)&lt;=3),1,IF(AND(MONTH(C173)&gt;=4,MONTH(C173)&lt;=6),2,IF(AND(MONTH(C173)&gt;=7,MONTH(C173)&lt;=9),3,4))))</f>
        <v>3</v>
      </c>
      <c r="D174" s="83"/>
      <c r="E174" s="62" t="s">
        <v>13191</v>
      </c>
      <c r="F174" s="61" t="s">
        <v>11111</v>
      </c>
      <c r="G174" s="5"/>
      <c r="H174" s="5"/>
      <c r="I174" s="5"/>
      <c r="J174" s="5"/>
    </row>
    <row r="175" spans="1:10" ht="14.1" customHeight="1" thickBot="1" x14ac:dyDescent="0.25">
      <c r="A175" s="5"/>
      <c r="B175" s="5"/>
      <c r="C175" s="5"/>
      <c r="D175" s="5"/>
      <c r="E175" s="5"/>
      <c r="F175" s="5"/>
      <c r="G175" s="5"/>
      <c r="H175" s="5"/>
      <c r="I175" s="5"/>
      <c r="J175" s="5"/>
    </row>
    <row r="176" spans="1:10" ht="14.1" customHeight="1" thickBot="1" x14ac:dyDescent="0.25">
      <c r="A176" s="67" t="s">
        <v>15735</v>
      </c>
      <c r="B176" s="67" t="s">
        <v>16146</v>
      </c>
      <c r="C176" s="67" t="s">
        <v>15641</v>
      </c>
      <c r="D176" s="67" t="s">
        <v>15251</v>
      </c>
      <c r="E176" s="67" t="s">
        <v>6932</v>
      </c>
      <c r="F176" s="67" t="s">
        <v>15280</v>
      </c>
      <c r="G176" s="5"/>
      <c r="H176" s="5"/>
      <c r="I176" s="5"/>
      <c r="J176" s="5"/>
    </row>
    <row r="177" spans="1:10" ht="14.1" customHeight="1" x14ac:dyDescent="0.2">
      <c r="A177" s="63">
        <v>56112103</v>
      </c>
      <c r="B177" s="64" t="str">
        <f ca="1">IFERROR(INDEX(UNSPSCDes,MATCH(INDIRECT(ADDRESS(ROW(),COLUMN()-1,4)),UNSPSCCode,0)),"")</f>
        <v>Sillas para visitantes</v>
      </c>
      <c r="C177" s="63" t="s">
        <v>1449</v>
      </c>
      <c r="D177" s="63">
        <v>490</v>
      </c>
      <c r="E177" s="66">
        <v>118</v>
      </c>
      <c r="F177" s="65">
        <f ca="1">INDIRECT(ADDRESS(ROW(),COLUMN()-2,4))*INDIRECT(ADDRESS(ROW(),COLUMN()-1,4))</f>
        <v>57820</v>
      </c>
      <c r="G177" s="5"/>
      <c r="H177" s="5"/>
      <c r="I177" s="5"/>
      <c r="J177" s="5"/>
    </row>
    <row r="178" spans="1:10" ht="13.5" customHeight="1" x14ac:dyDescent="0.2">
      <c r="A178" s="63">
        <v>56121501</v>
      </c>
      <c r="B178" s="64" t="str">
        <f ca="1">IFERROR(INDEX(UNSPSCDes,MATCH(INDIRECT(ADDRESS(ROW(),COLUMN()-1,4)),UNSPSCCode,0)),"")</f>
        <v>Mesas para actividades</v>
      </c>
      <c r="C178" s="63" t="s">
        <v>1449</v>
      </c>
      <c r="D178" s="63">
        <v>48</v>
      </c>
      <c r="E178" s="66">
        <v>472</v>
      </c>
      <c r="F178" s="65">
        <f ca="1">INDIRECT(ADDRESS(ROW(),COLUMN()-2,4))*INDIRECT(ADDRESS(ROW(),COLUMN()-1,4))</f>
        <v>22656</v>
      </c>
      <c r="G178" s="5"/>
      <c r="H178" s="5"/>
      <c r="I178" s="5"/>
      <c r="J178" s="5"/>
    </row>
    <row r="179" spans="1:10" ht="13.5" customHeight="1" x14ac:dyDescent="0.2">
      <c r="A179" s="63">
        <v>52121604</v>
      </c>
      <c r="B179" s="64" t="str">
        <f ca="1">IFERROR(INDEX(UNSPSCDes,MATCH(INDIRECT(ADDRESS(ROW(),COLUMN()-1,4)),UNSPSCCode,0)),"")</f>
        <v>Manteles</v>
      </c>
      <c r="C179" s="63" t="s">
        <v>1449</v>
      </c>
      <c r="D179" s="63">
        <v>18</v>
      </c>
      <c r="E179" s="66">
        <v>472</v>
      </c>
      <c r="F179" s="65">
        <f ca="1">INDIRECT(ADDRESS(ROW(),COLUMN()-2,4))*INDIRECT(ADDRESS(ROW(),COLUMN()-1,4))</f>
        <v>8496</v>
      </c>
      <c r="G179" s="5"/>
      <c r="H179" s="5"/>
      <c r="I179" s="5"/>
      <c r="J179" s="5"/>
    </row>
    <row r="180" spans="1:10" ht="14.1" customHeight="1" x14ac:dyDescent="0.2">
      <c r="A180" s="5"/>
      <c r="B180" s="5"/>
      <c r="C180" s="5"/>
      <c r="D180" s="5"/>
      <c r="E180" s="68" t="s">
        <v>12549</v>
      </c>
      <c r="F180" s="69">
        <f ca="1">SUM(Table318[MONTO TOTAL ESTIMADO])</f>
        <v>88972</v>
      </c>
      <c r="G180" s="5"/>
      <c r="H180" s="5" t="str">
        <f>C170</f>
        <v>Servicios</v>
      </c>
      <c r="I180" s="5" t="str">
        <f>E170</f>
        <v>Sí</v>
      </c>
      <c r="J180" s="5" t="str">
        <f>D170</f>
        <v>Compras por debajo del Umbral</v>
      </c>
    </row>
    <row r="181" spans="1:10" ht="14.1" customHeight="1" thickBot="1" x14ac:dyDescent="0.3"/>
    <row r="182" spans="1:10" ht="33.75" customHeight="1" thickBot="1" x14ac:dyDescent="0.25">
      <c r="A182" s="59" t="s">
        <v>16382</v>
      </c>
      <c r="B182" s="59" t="s">
        <v>161</v>
      </c>
      <c r="C182" s="59" t="s">
        <v>11723</v>
      </c>
      <c r="D182" s="59" t="s">
        <v>14377</v>
      </c>
      <c r="E182" s="59" t="s">
        <v>10961</v>
      </c>
      <c r="F182" s="59" t="s">
        <v>11094</v>
      </c>
      <c r="G182" s="5"/>
      <c r="H182" s="5"/>
      <c r="I182" s="5"/>
      <c r="J182" s="5"/>
    </row>
    <row r="183" spans="1:10" ht="14.1" customHeight="1" thickBot="1" x14ac:dyDescent="0.25">
      <c r="A183" s="61" t="s">
        <v>18841</v>
      </c>
      <c r="B183" s="61" t="s">
        <v>18842</v>
      </c>
      <c r="C183" s="61" t="s">
        <v>6798</v>
      </c>
      <c r="D183" s="61" t="s">
        <v>10170</v>
      </c>
      <c r="E183" s="61" t="s">
        <v>8854</v>
      </c>
      <c r="F183" s="61"/>
      <c r="G183" s="5"/>
      <c r="H183" s="5"/>
      <c r="I183" s="5"/>
      <c r="J183" s="5"/>
    </row>
    <row r="184" spans="1:10" ht="14.1" customHeight="1" thickBot="1" x14ac:dyDescent="0.25">
      <c r="A184" s="82" t="s">
        <v>14828</v>
      </c>
      <c r="B184" s="62" t="s">
        <v>8528</v>
      </c>
      <c r="C184" s="71">
        <v>44470</v>
      </c>
      <c r="D184" s="82" t="s">
        <v>9385</v>
      </c>
      <c r="E184" s="62" t="s">
        <v>13092</v>
      </c>
      <c r="F184" s="61" t="s">
        <v>3080</v>
      </c>
      <c r="G184" s="5"/>
      <c r="H184" s="5"/>
      <c r="I184" s="5"/>
      <c r="J184" s="5"/>
    </row>
    <row r="185" spans="1:10" ht="14.1" customHeight="1" thickBot="1" x14ac:dyDescent="0.25">
      <c r="A185" s="83"/>
      <c r="B185" s="62" t="s">
        <v>1786</v>
      </c>
      <c r="C185" s="60">
        <f>IF(C184="","",IF(AND(MONTH(C184)&gt;=1,MONTH(C184)&lt;=3),1,IF(AND(MONTH(C184)&gt;=4,MONTH(C184)&lt;=6),2,IF(AND(MONTH(C184)&gt;=7,MONTH(C184)&lt;=9),3,4))))</f>
        <v>4</v>
      </c>
      <c r="D185" s="83"/>
      <c r="E185" s="62" t="s">
        <v>2417</v>
      </c>
      <c r="F185" s="61" t="s">
        <v>11111</v>
      </c>
      <c r="G185" s="5"/>
      <c r="H185" s="5"/>
      <c r="I185" s="5"/>
      <c r="J185" s="5"/>
    </row>
    <row r="186" spans="1:10" ht="14.1" customHeight="1" thickBot="1" x14ac:dyDescent="0.25">
      <c r="A186" s="83"/>
      <c r="B186" s="62" t="s">
        <v>12941</v>
      </c>
      <c r="C186" s="71">
        <v>44473</v>
      </c>
      <c r="D186" s="83"/>
      <c r="E186" s="62" t="s">
        <v>3073</v>
      </c>
      <c r="F186" s="61" t="s">
        <v>11111</v>
      </c>
      <c r="G186" s="5"/>
      <c r="H186" s="5"/>
      <c r="I186" s="5"/>
      <c r="J186" s="5"/>
    </row>
    <row r="187" spans="1:10" ht="14.1" customHeight="1" thickBot="1" x14ac:dyDescent="0.25">
      <c r="A187" s="83"/>
      <c r="B187" s="62" t="s">
        <v>1786</v>
      </c>
      <c r="C187" s="60">
        <f>IF(C186="","",IF(AND(MONTH(C186)&gt;=1,MONTH(C186)&lt;=3),1,IF(AND(MONTH(C186)&gt;=4,MONTH(C186)&lt;=6),2,IF(AND(MONTH(C186)&gt;=7,MONTH(C186)&lt;=9),3,4))))</f>
        <v>4</v>
      </c>
      <c r="D187" s="83"/>
      <c r="E187" s="62" t="s">
        <v>13191</v>
      </c>
      <c r="F187" s="61" t="s">
        <v>11111</v>
      </c>
      <c r="G187" s="5"/>
      <c r="H187" s="5"/>
      <c r="I187" s="5"/>
      <c r="J187" s="5"/>
    </row>
    <row r="188" spans="1:10" ht="14.1" customHeight="1" thickBot="1" x14ac:dyDescent="0.25">
      <c r="A188" s="5"/>
      <c r="B188" s="5"/>
      <c r="C188" s="5"/>
      <c r="D188" s="5"/>
      <c r="E188" s="5"/>
      <c r="F188" s="5"/>
      <c r="G188" s="5"/>
      <c r="H188" s="5"/>
      <c r="I188" s="5"/>
      <c r="J188" s="5"/>
    </row>
    <row r="189" spans="1:10" ht="14.1" customHeight="1" thickBot="1" x14ac:dyDescent="0.25">
      <c r="A189" s="67" t="s">
        <v>15735</v>
      </c>
      <c r="B189" s="67" t="s">
        <v>16146</v>
      </c>
      <c r="C189" s="67" t="s">
        <v>15641</v>
      </c>
      <c r="D189" s="67" t="s">
        <v>15251</v>
      </c>
      <c r="E189" s="67" t="s">
        <v>6932</v>
      </c>
      <c r="F189" s="67" t="s">
        <v>15280</v>
      </c>
      <c r="G189" s="5"/>
      <c r="H189" s="5"/>
      <c r="I189" s="5"/>
      <c r="J189" s="5"/>
    </row>
    <row r="190" spans="1:10" ht="14.1" customHeight="1" x14ac:dyDescent="0.2">
      <c r="A190" s="63">
        <v>56112103</v>
      </c>
      <c r="B190" s="64" t="str">
        <f ca="1">IFERROR(INDEX(UNSPSCDes,MATCH(INDIRECT(ADDRESS(ROW(),COLUMN()-1,4)),UNSPSCCode,0)),"")</f>
        <v>Sillas para visitantes</v>
      </c>
      <c r="C190" s="63" t="s">
        <v>1449</v>
      </c>
      <c r="D190" s="63">
        <v>6</v>
      </c>
      <c r="E190" s="66">
        <v>118</v>
      </c>
      <c r="F190" s="65">
        <f ca="1">INDIRECT(ADDRESS(ROW(),COLUMN()-2,4))*INDIRECT(ADDRESS(ROW(),COLUMN()-1,4))</f>
        <v>708</v>
      </c>
      <c r="G190" s="5"/>
      <c r="H190" s="5"/>
      <c r="I190" s="5"/>
      <c r="J190" s="5"/>
    </row>
    <row r="191" spans="1:10" ht="13.5" customHeight="1" x14ac:dyDescent="0.2">
      <c r="A191" s="63">
        <v>56121501</v>
      </c>
      <c r="B191" s="64" t="str">
        <f ca="1">IFERROR(INDEX(UNSPSCDes,MATCH(INDIRECT(ADDRESS(ROW(),COLUMN()-1,4)),UNSPSCCode,0)),"")</f>
        <v>Mesas para actividades</v>
      </c>
      <c r="C191" s="63" t="s">
        <v>1449</v>
      </c>
      <c r="D191" s="63">
        <v>2</v>
      </c>
      <c r="E191" s="66">
        <v>472</v>
      </c>
      <c r="F191" s="65">
        <f ca="1">INDIRECT(ADDRESS(ROW(),COLUMN()-2,4))*INDIRECT(ADDRESS(ROW(),COLUMN()-1,4))</f>
        <v>944</v>
      </c>
      <c r="G191" s="5"/>
      <c r="H191" s="5"/>
      <c r="I191" s="5"/>
      <c r="J191" s="5"/>
    </row>
    <row r="192" spans="1:10" ht="13.5" customHeight="1" x14ac:dyDescent="0.2">
      <c r="A192" s="63">
        <v>52121604</v>
      </c>
      <c r="B192" s="64" t="str">
        <f ca="1">IFERROR(INDEX(UNSPSCDes,MATCH(INDIRECT(ADDRESS(ROW(),COLUMN()-1,4)),UNSPSCCode,0)),"")</f>
        <v>Manteles</v>
      </c>
      <c r="C192" s="63" t="s">
        <v>1449</v>
      </c>
      <c r="D192" s="63">
        <v>2</v>
      </c>
      <c r="E192" s="66">
        <v>472</v>
      </c>
      <c r="F192" s="65">
        <f ca="1">INDIRECT(ADDRESS(ROW(),COLUMN()-2,4))*INDIRECT(ADDRESS(ROW(),COLUMN()-1,4))</f>
        <v>944</v>
      </c>
      <c r="G192" s="5"/>
      <c r="H192" s="5"/>
      <c r="I192" s="5"/>
      <c r="J192" s="5"/>
    </row>
    <row r="193" spans="1:10" ht="14.1" customHeight="1" x14ac:dyDescent="0.2">
      <c r="A193" s="5"/>
      <c r="B193" s="5"/>
      <c r="C193" s="5"/>
      <c r="D193" s="5"/>
      <c r="E193" s="68" t="s">
        <v>12549</v>
      </c>
      <c r="F193" s="69">
        <f ca="1">SUM(Table319[MONTO TOTAL ESTIMADO])</f>
        <v>2596</v>
      </c>
      <c r="G193" s="5"/>
      <c r="H193" s="5" t="str">
        <f>C183</f>
        <v>Servicios</v>
      </c>
      <c r="I193" s="5" t="str">
        <f>E183</f>
        <v>Sí</v>
      </c>
      <c r="J193" s="5" t="str">
        <f>D183</f>
        <v>Compras por debajo del Umbral</v>
      </c>
    </row>
    <row r="194" spans="1:10" ht="14.1" customHeight="1" thickBot="1" x14ac:dyDescent="0.3"/>
    <row r="195" spans="1:10" ht="33.75" customHeight="1" thickBot="1" x14ac:dyDescent="0.25">
      <c r="A195" s="59" t="s">
        <v>16382</v>
      </c>
      <c r="B195" s="59" t="s">
        <v>161</v>
      </c>
      <c r="C195" s="59" t="s">
        <v>11723</v>
      </c>
      <c r="D195" s="59" t="s">
        <v>14377</v>
      </c>
      <c r="E195" s="59" t="s">
        <v>10961</v>
      </c>
      <c r="F195" s="59" t="s">
        <v>11094</v>
      </c>
      <c r="G195" s="5"/>
      <c r="H195" s="5"/>
      <c r="I195" s="5"/>
      <c r="J195" s="5"/>
    </row>
    <row r="196" spans="1:10" ht="14.1" customHeight="1" thickBot="1" x14ac:dyDescent="0.25">
      <c r="A196" s="61" t="s">
        <v>18843</v>
      </c>
      <c r="B196" s="61" t="s">
        <v>18844</v>
      </c>
      <c r="C196" s="61" t="s">
        <v>6798</v>
      </c>
      <c r="D196" s="61" t="s">
        <v>17483</v>
      </c>
      <c r="E196" s="61" t="s">
        <v>17854</v>
      </c>
      <c r="F196" s="61"/>
      <c r="G196" s="5"/>
      <c r="H196" s="5"/>
      <c r="I196" s="5"/>
      <c r="J196" s="5"/>
    </row>
    <row r="197" spans="1:10" ht="14.1" customHeight="1" thickBot="1" x14ac:dyDescent="0.25">
      <c r="A197" s="82" t="s">
        <v>14828</v>
      </c>
      <c r="B197" s="62" t="s">
        <v>8528</v>
      </c>
      <c r="C197" s="71">
        <v>44287</v>
      </c>
      <c r="D197" s="82" t="s">
        <v>9385</v>
      </c>
      <c r="E197" s="62" t="s">
        <v>13092</v>
      </c>
      <c r="F197" s="61" t="s">
        <v>3080</v>
      </c>
      <c r="G197" s="5"/>
      <c r="H197" s="5"/>
      <c r="I197" s="5"/>
      <c r="J197" s="5"/>
    </row>
    <row r="198" spans="1:10" ht="14.1" customHeight="1" thickBot="1" x14ac:dyDescent="0.25">
      <c r="A198" s="83"/>
      <c r="B198" s="62" t="s">
        <v>1786</v>
      </c>
      <c r="C198" s="60">
        <f>IF(C197="","",IF(AND(MONTH(C197)&gt;=1,MONTH(C197)&lt;=3),1,IF(AND(MONTH(C197)&gt;=4,MONTH(C197)&lt;=6),2,IF(AND(MONTH(C197)&gt;=7,MONTH(C197)&lt;=9),3,4))))</f>
        <v>2</v>
      </c>
      <c r="D198" s="83"/>
      <c r="E198" s="62" t="s">
        <v>2417</v>
      </c>
      <c r="F198" s="61" t="s">
        <v>11111</v>
      </c>
      <c r="G198" s="5"/>
      <c r="H198" s="5"/>
      <c r="I198" s="5"/>
      <c r="J198" s="5"/>
    </row>
    <row r="199" spans="1:10" ht="14.1" customHeight="1" thickBot="1" x14ac:dyDescent="0.25">
      <c r="A199" s="83"/>
      <c r="B199" s="62" t="s">
        <v>12941</v>
      </c>
      <c r="C199" s="71">
        <v>44301</v>
      </c>
      <c r="D199" s="83"/>
      <c r="E199" s="62" t="s">
        <v>3073</v>
      </c>
      <c r="F199" s="61" t="s">
        <v>11111</v>
      </c>
      <c r="G199" s="5"/>
      <c r="H199" s="5"/>
      <c r="I199" s="5"/>
      <c r="J199" s="5"/>
    </row>
    <row r="200" spans="1:10" ht="14.1" customHeight="1" thickBot="1" x14ac:dyDescent="0.25">
      <c r="A200" s="83"/>
      <c r="B200" s="62" t="s">
        <v>1786</v>
      </c>
      <c r="C200" s="60">
        <f>IF(C199="","",IF(AND(MONTH(C199)&gt;=1,MONTH(C199)&lt;=3),1,IF(AND(MONTH(C199)&gt;=4,MONTH(C199)&lt;=6),2,IF(AND(MONTH(C199)&gt;=7,MONTH(C199)&lt;=9),3,4))))</f>
        <v>2</v>
      </c>
      <c r="D200" s="83"/>
      <c r="E200" s="62" t="s">
        <v>13191</v>
      </c>
      <c r="F200" s="61" t="s">
        <v>11111</v>
      </c>
      <c r="G200" s="5"/>
      <c r="H200" s="5"/>
      <c r="I200" s="5"/>
      <c r="J200" s="5"/>
    </row>
    <row r="201" spans="1:10" ht="14.1" customHeight="1" thickBot="1" x14ac:dyDescent="0.25">
      <c r="A201" s="5"/>
      <c r="B201" s="5"/>
      <c r="C201" s="5"/>
      <c r="D201" s="5"/>
      <c r="E201" s="5"/>
      <c r="F201" s="5"/>
      <c r="G201" s="5"/>
      <c r="H201" s="5"/>
      <c r="I201" s="5"/>
      <c r="J201" s="5"/>
    </row>
    <row r="202" spans="1:10" ht="14.1" customHeight="1" thickBot="1" x14ac:dyDescent="0.25">
      <c r="A202" s="67" t="s">
        <v>15735</v>
      </c>
      <c r="B202" s="67" t="s">
        <v>16146</v>
      </c>
      <c r="C202" s="67" t="s">
        <v>15641</v>
      </c>
      <c r="D202" s="67" t="s">
        <v>15251</v>
      </c>
      <c r="E202" s="67" t="s">
        <v>6932</v>
      </c>
      <c r="F202" s="67" t="s">
        <v>15280</v>
      </c>
      <c r="G202" s="5"/>
      <c r="H202" s="5"/>
      <c r="I202" s="5"/>
      <c r="J202" s="5"/>
    </row>
    <row r="203" spans="1:10" ht="13.5" customHeight="1" x14ac:dyDescent="0.2">
      <c r="A203" s="63">
        <v>84131501</v>
      </c>
      <c r="B203" s="64" t="str">
        <f ca="1">IFERROR(INDEX(UNSPSCDes,MATCH(INDIRECT(ADDRESS(ROW(),COLUMN()-1,4)),UNSPSCCode,0)),"")</f>
        <v>Seguros de edificios o del contenido de edificios</v>
      </c>
      <c r="C203" s="63" t="s">
        <v>1449</v>
      </c>
      <c r="D203" s="63">
        <v>1</v>
      </c>
      <c r="E203" s="66">
        <v>150000</v>
      </c>
      <c r="F203" s="65">
        <f ca="1">INDIRECT(ADDRESS(ROW(),COLUMN()-2,4))*INDIRECT(ADDRESS(ROW(),COLUMN()-1,4))</f>
        <v>150000</v>
      </c>
      <c r="G203" s="5"/>
      <c r="H203" s="5"/>
      <c r="I203" s="5"/>
      <c r="J203" s="5"/>
    </row>
    <row r="204" spans="1:10" ht="14.1" customHeight="1" x14ac:dyDescent="0.2">
      <c r="A204" s="5"/>
      <c r="B204" s="5"/>
      <c r="C204" s="5"/>
      <c r="D204" s="5"/>
      <c r="E204" s="68" t="s">
        <v>12549</v>
      </c>
      <c r="F204" s="69">
        <f ca="1">SUM(Table320[MONTO TOTAL ESTIMADO])</f>
        <v>150000</v>
      </c>
      <c r="G204" s="5"/>
      <c r="H204" s="5" t="str">
        <f>C196</f>
        <v>Servicios</v>
      </c>
      <c r="I204" s="5" t="str">
        <f>E196</f>
        <v>No</v>
      </c>
      <c r="J204" s="5" t="str">
        <f>D196</f>
        <v>Compras Menores</v>
      </c>
    </row>
    <row r="205" spans="1:10" ht="14.1" customHeight="1" thickBot="1" x14ac:dyDescent="0.3"/>
    <row r="206" spans="1:10" ht="33.75" customHeight="1" thickBot="1" x14ac:dyDescent="0.25">
      <c r="A206" s="59" t="s">
        <v>16382</v>
      </c>
      <c r="B206" s="59" t="s">
        <v>161</v>
      </c>
      <c r="C206" s="59" t="s">
        <v>11723</v>
      </c>
      <c r="D206" s="59" t="s">
        <v>14377</v>
      </c>
      <c r="E206" s="59" t="s">
        <v>10961</v>
      </c>
      <c r="F206" s="59" t="s">
        <v>11094</v>
      </c>
      <c r="G206" s="5"/>
      <c r="H206" s="5"/>
      <c r="I206" s="5"/>
      <c r="J206" s="5"/>
    </row>
    <row r="207" spans="1:10" ht="14.1" customHeight="1" thickBot="1" x14ac:dyDescent="0.25">
      <c r="A207" s="61" t="s">
        <v>18843</v>
      </c>
      <c r="B207" s="61" t="s">
        <v>18844</v>
      </c>
      <c r="C207" s="61" t="s">
        <v>6798</v>
      </c>
      <c r="D207" s="61" t="s">
        <v>17483</v>
      </c>
      <c r="E207" s="61" t="s">
        <v>17854</v>
      </c>
      <c r="F207" s="61"/>
      <c r="G207" s="5"/>
      <c r="H207" s="5"/>
      <c r="I207" s="5"/>
      <c r="J207" s="5"/>
    </row>
    <row r="208" spans="1:10" ht="14.1" customHeight="1" thickBot="1" x14ac:dyDescent="0.25">
      <c r="A208" s="82" t="s">
        <v>14828</v>
      </c>
      <c r="B208" s="62" t="s">
        <v>8528</v>
      </c>
      <c r="C208" s="71">
        <v>44378</v>
      </c>
      <c r="D208" s="82" t="s">
        <v>9385</v>
      </c>
      <c r="E208" s="62" t="s">
        <v>13092</v>
      </c>
      <c r="F208" s="61" t="s">
        <v>3080</v>
      </c>
      <c r="G208" s="5"/>
      <c r="H208" s="5"/>
      <c r="I208" s="5"/>
      <c r="J208" s="5"/>
    </row>
    <row r="209" spans="1:10" ht="14.1" customHeight="1" thickBot="1" x14ac:dyDescent="0.25">
      <c r="A209" s="83"/>
      <c r="B209" s="62" t="s">
        <v>1786</v>
      </c>
      <c r="C209" s="60">
        <f>IF(C208="","",IF(AND(MONTH(C208)&gt;=1,MONTH(C208)&lt;=3),1,IF(AND(MONTH(C208)&gt;=4,MONTH(C208)&lt;=6),2,IF(AND(MONTH(C208)&gt;=7,MONTH(C208)&lt;=9),3,4))))</f>
        <v>3</v>
      </c>
      <c r="D209" s="83"/>
      <c r="E209" s="62" t="s">
        <v>2417</v>
      </c>
      <c r="F209" s="61" t="s">
        <v>11111</v>
      </c>
      <c r="G209" s="5"/>
      <c r="H209" s="5"/>
      <c r="I209" s="5"/>
      <c r="J209" s="5"/>
    </row>
    <row r="210" spans="1:10" ht="14.1" customHeight="1" thickBot="1" x14ac:dyDescent="0.25">
      <c r="A210" s="83"/>
      <c r="B210" s="62" t="s">
        <v>12941</v>
      </c>
      <c r="C210" s="71">
        <v>44392</v>
      </c>
      <c r="D210" s="83"/>
      <c r="E210" s="62" t="s">
        <v>3073</v>
      </c>
      <c r="F210" s="61" t="s">
        <v>11111</v>
      </c>
      <c r="G210" s="5"/>
      <c r="H210" s="5"/>
      <c r="I210" s="5"/>
      <c r="J210" s="5"/>
    </row>
    <row r="211" spans="1:10" ht="14.1" customHeight="1" thickBot="1" x14ac:dyDescent="0.25">
      <c r="A211" s="83"/>
      <c r="B211" s="62" t="s">
        <v>1786</v>
      </c>
      <c r="C211" s="60">
        <f>IF(C210="","",IF(AND(MONTH(C210)&gt;=1,MONTH(C210)&lt;=3),1,IF(AND(MONTH(C210)&gt;=4,MONTH(C210)&lt;=6),2,IF(AND(MONTH(C210)&gt;=7,MONTH(C210)&lt;=9),3,4))))</f>
        <v>3</v>
      </c>
      <c r="D211" s="83"/>
      <c r="E211" s="62" t="s">
        <v>13191</v>
      </c>
      <c r="F211" s="61" t="s">
        <v>11111</v>
      </c>
      <c r="G211" s="5"/>
      <c r="H211" s="5"/>
      <c r="I211" s="5"/>
      <c r="J211" s="5"/>
    </row>
    <row r="212" spans="1:10" ht="14.1" customHeight="1" thickBot="1" x14ac:dyDescent="0.25">
      <c r="A212" s="5"/>
      <c r="B212" s="5"/>
      <c r="C212" s="5"/>
      <c r="D212" s="5"/>
      <c r="E212" s="5"/>
      <c r="F212" s="5"/>
      <c r="G212" s="5"/>
      <c r="H212" s="5"/>
      <c r="I212" s="5"/>
      <c r="J212" s="5"/>
    </row>
    <row r="213" spans="1:10" ht="14.1" customHeight="1" thickBot="1" x14ac:dyDescent="0.25">
      <c r="A213" s="67" t="s">
        <v>15735</v>
      </c>
      <c r="B213" s="67" t="s">
        <v>16146</v>
      </c>
      <c r="C213" s="67" t="s">
        <v>15641</v>
      </c>
      <c r="D213" s="67" t="s">
        <v>15251</v>
      </c>
      <c r="E213" s="67" t="s">
        <v>6932</v>
      </c>
      <c r="F213" s="67" t="s">
        <v>15280</v>
      </c>
      <c r="G213" s="5"/>
      <c r="H213" s="5"/>
      <c r="I213" s="5"/>
      <c r="J213" s="5"/>
    </row>
    <row r="214" spans="1:10" ht="13.5" customHeight="1" x14ac:dyDescent="0.2">
      <c r="A214" s="63">
        <v>84131501</v>
      </c>
      <c r="B214" s="64" t="str">
        <f ca="1">IFERROR(INDEX(UNSPSCDes,MATCH(INDIRECT(ADDRESS(ROW(),COLUMN()-1,4)),UNSPSCCode,0)),"")</f>
        <v>Seguros de edificios o del contenido de edificios</v>
      </c>
      <c r="C214" s="63" t="s">
        <v>1449</v>
      </c>
      <c r="D214" s="63">
        <v>1</v>
      </c>
      <c r="E214" s="66">
        <v>150000</v>
      </c>
      <c r="F214" s="65">
        <f ca="1">INDIRECT(ADDRESS(ROW(),COLUMN()-2,4))*INDIRECT(ADDRESS(ROW(),COLUMN()-1,4))</f>
        <v>150000</v>
      </c>
      <c r="G214" s="5"/>
      <c r="H214" s="5"/>
      <c r="I214" s="5"/>
      <c r="J214" s="5"/>
    </row>
    <row r="215" spans="1:10" ht="14.1" customHeight="1" x14ac:dyDescent="0.2">
      <c r="A215" s="5"/>
      <c r="B215" s="5"/>
      <c r="C215" s="5"/>
      <c r="D215" s="5"/>
      <c r="E215" s="68" t="s">
        <v>12549</v>
      </c>
      <c r="F215" s="69">
        <f ca="1">SUM(Table321[MONTO TOTAL ESTIMADO])</f>
        <v>150000</v>
      </c>
      <c r="G215" s="5"/>
      <c r="H215" s="5" t="str">
        <f>C207</f>
        <v>Servicios</v>
      </c>
      <c r="I215" s="5" t="str">
        <f>E207</f>
        <v>No</v>
      </c>
      <c r="J215" s="5" t="str">
        <f>D207</f>
        <v>Compras Menores</v>
      </c>
    </row>
    <row r="216" spans="1:10" ht="14.1" customHeight="1" thickBot="1" x14ac:dyDescent="0.3"/>
    <row r="217" spans="1:10" ht="33.75" customHeight="1" thickBot="1" x14ac:dyDescent="0.25">
      <c r="A217" s="59" t="s">
        <v>16382</v>
      </c>
      <c r="B217" s="59" t="s">
        <v>161</v>
      </c>
      <c r="C217" s="59" t="s">
        <v>11723</v>
      </c>
      <c r="D217" s="59" t="s">
        <v>14377</v>
      </c>
      <c r="E217" s="59" t="s">
        <v>10961</v>
      </c>
      <c r="F217" s="59" t="s">
        <v>11094</v>
      </c>
      <c r="G217" s="5"/>
      <c r="H217" s="5"/>
      <c r="I217" s="5"/>
      <c r="J217" s="5"/>
    </row>
    <row r="218" spans="1:10" ht="14.1" customHeight="1" thickBot="1" x14ac:dyDescent="0.25">
      <c r="A218" s="61" t="s">
        <v>18845</v>
      </c>
      <c r="B218" s="61" t="s">
        <v>18846</v>
      </c>
      <c r="C218" s="61" t="s">
        <v>6798</v>
      </c>
      <c r="D218" s="61" t="s">
        <v>10170</v>
      </c>
      <c r="E218" s="61" t="s">
        <v>8854</v>
      </c>
      <c r="F218" s="61"/>
      <c r="G218" s="5"/>
      <c r="H218" s="5"/>
      <c r="I218" s="5"/>
      <c r="J218" s="5"/>
    </row>
    <row r="219" spans="1:10" ht="14.1" customHeight="1" thickBot="1" x14ac:dyDescent="0.25">
      <c r="A219" s="82" t="s">
        <v>14828</v>
      </c>
      <c r="B219" s="62" t="s">
        <v>8528</v>
      </c>
      <c r="C219" s="71">
        <v>44197</v>
      </c>
      <c r="D219" s="82" t="s">
        <v>9385</v>
      </c>
      <c r="E219" s="62" t="s">
        <v>13092</v>
      </c>
      <c r="F219" s="61" t="s">
        <v>3080</v>
      </c>
      <c r="G219" s="5"/>
      <c r="H219" s="5"/>
      <c r="I219" s="5"/>
      <c r="J219" s="5"/>
    </row>
    <row r="220" spans="1:10" ht="14.1" customHeight="1" thickBot="1" x14ac:dyDescent="0.25">
      <c r="A220" s="83"/>
      <c r="B220" s="62" t="s">
        <v>1786</v>
      </c>
      <c r="C220" s="60">
        <f>IF(C219="","",IF(AND(MONTH(C219)&gt;=1,MONTH(C219)&lt;=3),1,IF(AND(MONTH(C219)&gt;=4,MONTH(C219)&lt;=6),2,IF(AND(MONTH(C219)&gt;=7,MONTH(C219)&lt;=9),3,4))))</f>
        <v>1</v>
      </c>
      <c r="D220" s="83"/>
      <c r="E220" s="62" t="s">
        <v>2417</v>
      </c>
      <c r="F220" s="61" t="s">
        <v>11111</v>
      </c>
      <c r="G220" s="5"/>
      <c r="H220" s="5"/>
      <c r="I220" s="5"/>
      <c r="J220" s="5"/>
    </row>
    <row r="221" spans="1:10" ht="14.1" customHeight="1" thickBot="1" x14ac:dyDescent="0.25">
      <c r="A221" s="83"/>
      <c r="B221" s="62" t="s">
        <v>12941</v>
      </c>
      <c r="C221" s="71">
        <v>44198</v>
      </c>
      <c r="D221" s="83"/>
      <c r="E221" s="62" t="s">
        <v>3073</v>
      </c>
      <c r="F221" s="61" t="s">
        <v>11111</v>
      </c>
      <c r="G221" s="5"/>
      <c r="H221" s="5"/>
      <c r="I221" s="5"/>
      <c r="J221" s="5"/>
    </row>
    <row r="222" spans="1:10" ht="14.1" customHeight="1" thickBot="1" x14ac:dyDescent="0.25">
      <c r="A222" s="83"/>
      <c r="B222" s="62" t="s">
        <v>1786</v>
      </c>
      <c r="C222" s="60">
        <f>IF(C221="","",IF(AND(MONTH(C221)&gt;=1,MONTH(C221)&lt;=3),1,IF(AND(MONTH(C221)&gt;=4,MONTH(C221)&lt;=6),2,IF(AND(MONTH(C221)&gt;=7,MONTH(C221)&lt;=9),3,4))))</f>
        <v>1</v>
      </c>
      <c r="D222" s="83"/>
      <c r="E222" s="62" t="s">
        <v>13191</v>
      </c>
      <c r="F222" s="61" t="s">
        <v>11111</v>
      </c>
      <c r="G222" s="5"/>
      <c r="H222" s="5"/>
      <c r="I222" s="5"/>
      <c r="J222" s="5"/>
    </row>
    <row r="223" spans="1:10" ht="14.1" customHeight="1" thickBot="1" x14ac:dyDescent="0.25">
      <c r="A223" s="5"/>
      <c r="B223" s="5"/>
      <c r="C223" s="5"/>
      <c r="D223" s="5"/>
      <c r="E223" s="5"/>
      <c r="F223" s="5"/>
      <c r="G223" s="5"/>
      <c r="H223" s="5"/>
      <c r="I223" s="5"/>
      <c r="J223" s="5"/>
    </row>
    <row r="224" spans="1:10" ht="14.1" customHeight="1" thickBot="1" x14ac:dyDescent="0.25">
      <c r="A224" s="67" t="s">
        <v>15735</v>
      </c>
      <c r="B224" s="67" t="s">
        <v>16146</v>
      </c>
      <c r="C224" s="67" t="s">
        <v>15641</v>
      </c>
      <c r="D224" s="67" t="s">
        <v>15251</v>
      </c>
      <c r="E224" s="67" t="s">
        <v>6932</v>
      </c>
      <c r="F224" s="67" t="s">
        <v>15280</v>
      </c>
      <c r="G224" s="5"/>
      <c r="H224" s="5"/>
      <c r="I224" s="5"/>
      <c r="J224" s="5"/>
    </row>
    <row r="225" spans="1:10" ht="13.5" customHeight="1" x14ac:dyDescent="0.2">
      <c r="A225" s="63">
        <v>72102304</v>
      </c>
      <c r="B225" s="64" t="str">
        <f ca="1">IFERROR(INDEX(UNSPSCDes,MATCH(INDIRECT(ADDRESS(ROW(),COLUMN()-1,4)),UNSPSCCode,0)),"")</f>
        <v>Mantenimiento o reparación de sistemas de fontanería</v>
      </c>
      <c r="C225" s="63" t="s">
        <v>1449</v>
      </c>
      <c r="D225" s="63">
        <v>1</v>
      </c>
      <c r="E225" s="66">
        <v>37500</v>
      </c>
      <c r="F225" s="65">
        <f ca="1">INDIRECT(ADDRESS(ROW(),COLUMN()-2,4))*INDIRECT(ADDRESS(ROW(),COLUMN()-1,4))</f>
        <v>37500</v>
      </c>
      <c r="G225" s="5"/>
      <c r="H225" s="5"/>
      <c r="I225" s="5"/>
      <c r="J225" s="5"/>
    </row>
    <row r="226" spans="1:10" ht="14.1" customHeight="1" x14ac:dyDescent="0.2">
      <c r="A226" s="5"/>
      <c r="B226" s="5"/>
      <c r="C226" s="5"/>
      <c r="D226" s="5"/>
      <c r="E226" s="68" t="s">
        <v>12549</v>
      </c>
      <c r="F226" s="69">
        <f ca="1">SUM(Table322[MONTO TOTAL ESTIMADO])</f>
        <v>37500</v>
      </c>
      <c r="G226" s="5"/>
      <c r="H226" s="5" t="str">
        <f>C218</f>
        <v>Servicios</v>
      </c>
      <c r="I226" s="5" t="str">
        <f>E218</f>
        <v>Sí</v>
      </c>
      <c r="J226" s="5" t="str">
        <f>D218</f>
        <v>Compras por debajo del Umbral</v>
      </c>
    </row>
    <row r="227" spans="1:10" ht="14.1" customHeight="1" thickBot="1" x14ac:dyDescent="0.3"/>
    <row r="228" spans="1:10" ht="33.75" customHeight="1" thickBot="1" x14ac:dyDescent="0.25">
      <c r="A228" s="59" t="s">
        <v>16382</v>
      </c>
      <c r="B228" s="59" t="s">
        <v>161</v>
      </c>
      <c r="C228" s="59" t="s">
        <v>11723</v>
      </c>
      <c r="D228" s="59" t="s">
        <v>14377</v>
      </c>
      <c r="E228" s="59" t="s">
        <v>10961</v>
      </c>
      <c r="F228" s="59" t="s">
        <v>11094</v>
      </c>
      <c r="G228" s="5"/>
      <c r="H228" s="5"/>
      <c r="I228" s="5"/>
      <c r="J228" s="5"/>
    </row>
    <row r="229" spans="1:10" ht="14.1" customHeight="1" thickBot="1" x14ac:dyDescent="0.25">
      <c r="A229" s="61" t="s">
        <v>18845</v>
      </c>
      <c r="B229" s="61" t="s">
        <v>18846</v>
      </c>
      <c r="C229" s="61" t="s">
        <v>6798</v>
      </c>
      <c r="D229" s="61" t="s">
        <v>10170</v>
      </c>
      <c r="E229" s="61" t="s">
        <v>8854</v>
      </c>
      <c r="F229" s="61"/>
      <c r="G229" s="5"/>
      <c r="H229" s="5"/>
      <c r="I229" s="5"/>
      <c r="J229" s="5"/>
    </row>
    <row r="230" spans="1:10" ht="14.1" customHeight="1" thickBot="1" x14ac:dyDescent="0.25">
      <c r="A230" s="82" t="s">
        <v>14828</v>
      </c>
      <c r="B230" s="62" t="s">
        <v>8528</v>
      </c>
      <c r="C230" s="71">
        <v>44287</v>
      </c>
      <c r="D230" s="82" t="s">
        <v>9385</v>
      </c>
      <c r="E230" s="62" t="s">
        <v>13092</v>
      </c>
      <c r="F230" s="61" t="s">
        <v>3080</v>
      </c>
      <c r="G230" s="5"/>
      <c r="H230" s="5"/>
      <c r="I230" s="5"/>
      <c r="J230" s="5"/>
    </row>
    <row r="231" spans="1:10" ht="14.1" customHeight="1" thickBot="1" x14ac:dyDescent="0.25">
      <c r="A231" s="83"/>
      <c r="B231" s="62" t="s">
        <v>1786</v>
      </c>
      <c r="C231" s="60">
        <f>IF(C230="","",IF(AND(MONTH(C230)&gt;=1,MONTH(C230)&lt;=3),1,IF(AND(MONTH(C230)&gt;=4,MONTH(C230)&lt;=6),2,IF(AND(MONTH(C230)&gt;=7,MONTH(C230)&lt;=9),3,4))))</f>
        <v>2</v>
      </c>
      <c r="D231" s="83"/>
      <c r="E231" s="62" t="s">
        <v>2417</v>
      </c>
      <c r="F231" s="61" t="s">
        <v>11111</v>
      </c>
      <c r="G231" s="5"/>
      <c r="H231" s="5"/>
      <c r="I231" s="5"/>
      <c r="J231" s="5"/>
    </row>
    <row r="232" spans="1:10" ht="14.1" customHeight="1" thickBot="1" x14ac:dyDescent="0.25">
      <c r="A232" s="83"/>
      <c r="B232" s="62" t="s">
        <v>12941</v>
      </c>
      <c r="C232" s="71">
        <v>44288</v>
      </c>
      <c r="D232" s="83"/>
      <c r="E232" s="62" t="s">
        <v>3073</v>
      </c>
      <c r="F232" s="61" t="s">
        <v>11111</v>
      </c>
      <c r="G232" s="5"/>
      <c r="H232" s="5"/>
      <c r="I232" s="5"/>
      <c r="J232" s="5"/>
    </row>
    <row r="233" spans="1:10" ht="14.1" customHeight="1" thickBot="1" x14ac:dyDescent="0.25">
      <c r="A233" s="83"/>
      <c r="B233" s="62" t="s">
        <v>1786</v>
      </c>
      <c r="C233" s="60">
        <f>IF(C232="","",IF(AND(MONTH(C232)&gt;=1,MONTH(C232)&lt;=3),1,IF(AND(MONTH(C232)&gt;=4,MONTH(C232)&lt;=6),2,IF(AND(MONTH(C232)&gt;=7,MONTH(C232)&lt;=9),3,4))))</f>
        <v>2</v>
      </c>
      <c r="D233" s="83"/>
      <c r="E233" s="62" t="s">
        <v>13191</v>
      </c>
      <c r="F233" s="61" t="s">
        <v>11111</v>
      </c>
      <c r="G233" s="5"/>
      <c r="H233" s="5"/>
      <c r="I233" s="5"/>
      <c r="J233" s="5"/>
    </row>
    <row r="234" spans="1:10" ht="14.1" customHeight="1" thickBot="1" x14ac:dyDescent="0.25">
      <c r="A234" s="5"/>
      <c r="B234" s="5"/>
      <c r="C234" s="5"/>
      <c r="D234" s="5"/>
      <c r="E234" s="5"/>
      <c r="F234" s="5"/>
      <c r="G234" s="5"/>
      <c r="H234" s="5"/>
      <c r="I234" s="5"/>
      <c r="J234" s="5"/>
    </row>
    <row r="235" spans="1:10" ht="14.1" customHeight="1" thickBot="1" x14ac:dyDescent="0.25">
      <c r="A235" s="67" t="s">
        <v>15735</v>
      </c>
      <c r="B235" s="67" t="s">
        <v>16146</v>
      </c>
      <c r="C235" s="67" t="s">
        <v>15641</v>
      </c>
      <c r="D235" s="67" t="s">
        <v>15251</v>
      </c>
      <c r="E235" s="67" t="s">
        <v>6932</v>
      </c>
      <c r="F235" s="67" t="s">
        <v>15280</v>
      </c>
      <c r="G235" s="5"/>
      <c r="H235" s="5"/>
      <c r="I235" s="5"/>
      <c r="J235" s="5"/>
    </row>
    <row r="236" spans="1:10" ht="13.5" customHeight="1" x14ac:dyDescent="0.2">
      <c r="A236" s="63">
        <v>72102304</v>
      </c>
      <c r="B236" s="64" t="str">
        <f ca="1">IFERROR(INDEX(UNSPSCDes,MATCH(INDIRECT(ADDRESS(ROW(),COLUMN()-1,4)),UNSPSCCode,0)),"")</f>
        <v>Mantenimiento o reparación de sistemas de fontanería</v>
      </c>
      <c r="C236" s="63" t="s">
        <v>1449</v>
      </c>
      <c r="D236" s="63">
        <v>1</v>
      </c>
      <c r="E236" s="66">
        <v>37500</v>
      </c>
      <c r="F236" s="65">
        <f ca="1">INDIRECT(ADDRESS(ROW(),COLUMN()-2,4))*INDIRECT(ADDRESS(ROW(),COLUMN()-1,4))</f>
        <v>37500</v>
      </c>
      <c r="G236" s="5"/>
      <c r="H236" s="5"/>
      <c r="I236" s="5"/>
      <c r="J236" s="5"/>
    </row>
    <row r="237" spans="1:10" ht="14.1" customHeight="1" x14ac:dyDescent="0.2">
      <c r="A237" s="5"/>
      <c r="B237" s="5"/>
      <c r="C237" s="5"/>
      <c r="D237" s="5"/>
      <c r="E237" s="68" t="s">
        <v>12549</v>
      </c>
      <c r="F237" s="69">
        <f ca="1">SUM(Table323[MONTO TOTAL ESTIMADO])</f>
        <v>37500</v>
      </c>
      <c r="G237" s="5"/>
      <c r="H237" s="5" t="str">
        <f>C229</f>
        <v>Servicios</v>
      </c>
      <c r="I237" s="5" t="str">
        <f>E229</f>
        <v>Sí</v>
      </c>
      <c r="J237" s="5" t="str">
        <f>D229</f>
        <v>Compras por debajo del Umbral</v>
      </c>
    </row>
    <row r="238" spans="1:10" ht="14.1" customHeight="1" thickBot="1" x14ac:dyDescent="0.3"/>
    <row r="239" spans="1:10" ht="33.75" customHeight="1" thickBot="1" x14ac:dyDescent="0.25">
      <c r="A239" s="59" t="s">
        <v>16382</v>
      </c>
      <c r="B239" s="59" t="s">
        <v>161</v>
      </c>
      <c r="C239" s="59" t="s">
        <v>11723</v>
      </c>
      <c r="D239" s="59" t="s">
        <v>14377</v>
      </c>
      <c r="E239" s="59" t="s">
        <v>10961</v>
      </c>
      <c r="F239" s="59" t="s">
        <v>11094</v>
      </c>
      <c r="G239" s="5"/>
      <c r="H239" s="5"/>
      <c r="I239" s="5"/>
      <c r="J239" s="5"/>
    </row>
    <row r="240" spans="1:10" ht="14.1" customHeight="1" thickBot="1" x14ac:dyDescent="0.25">
      <c r="A240" s="61" t="s">
        <v>18845</v>
      </c>
      <c r="B240" s="61" t="s">
        <v>18846</v>
      </c>
      <c r="C240" s="61" t="s">
        <v>6798</v>
      </c>
      <c r="D240" s="61" t="s">
        <v>10170</v>
      </c>
      <c r="E240" s="61" t="s">
        <v>8854</v>
      </c>
      <c r="F240" s="61"/>
      <c r="G240" s="5"/>
      <c r="H240" s="5"/>
      <c r="I240" s="5"/>
      <c r="J240" s="5"/>
    </row>
    <row r="241" spans="1:10" ht="14.1" customHeight="1" thickBot="1" x14ac:dyDescent="0.25">
      <c r="A241" s="82" t="s">
        <v>14828</v>
      </c>
      <c r="B241" s="62" t="s">
        <v>8528</v>
      </c>
      <c r="C241" s="71">
        <v>44378</v>
      </c>
      <c r="D241" s="82" t="s">
        <v>9385</v>
      </c>
      <c r="E241" s="62" t="s">
        <v>13092</v>
      </c>
      <c r="F241" s="61" t="s">
        <v>3080</v>
      </c>
      <c r="G241" s="5"/>
      <c r="H241" s="5"/>
      <c r="I241" s="5"/>
      <c r="J241" s="5"/>
    </row>
    <row r="242" spans="1:10" ht="14.1" customHeight="1" thickBot="1" x14ac:dyDescent="0.25">
      <c r="A242" s="83"/>
      <c r="B242" s="62" t="s">
        <v>1786</v>
      </c>
      <c r="C242" s="60">
        <f>IF(C241="","",IF(AND(MONTH(C241)&gt;=1,MONTH(C241)&lt;=3),1,IF(AND(MONTH(C241)&gt;=4,MONTH(C241)&lt;=6),2,IF(AND(MONTH(C241)&gt;=7,MONTH(C241)&lt;=9),3,4))))</f>
        <v>3</v>
      </c>
      <c r="D242" s="83"/>
      <c r="E242" s="62" t="s">
        <v>2417</v>
      </c>
      <c r="F242" s="61" t="s">
        <v>11111</v>
      </c>
      <c r="G242" s="5"/>
      <c r="H242" s="5"/>
      <c r="I242" s="5"/>
      <c r="J242" s="5"/>
    </row>
    <row r="243" spans="1:10" ht="14.1" customHeight="1" thickBot="1" x14ac:dyDescent="0.25">
      <c r="A243" s="83"/>
      <c r="B243" s="62" t="s">
        <v>12941</v>
      </c>
      <c r="C243" s="71">
        <v>44379</v>
      </c>
      <c r="D243" s="83"/>
      <c r="E243" s="62" t="s">
        <v>3073</v>
      </c>
      <c r="F243" s="61" t="s">
        <v>11111</v>
      </c>
      <c r="G243" s="5"/>
      <c r="H243" s="5"/>
      <c r="I243" s="5"/>
      <c r="J243" s="5"/>
    </row>
    <row r="244" spans="1:10" ht="14.1" customHeight="1" thickBot="1" x14ac:dyDescent="0.25">
      <c r="A244" s="83"/>
      <c r="B244" s="62" t="s">
        <v>1786</v>
      </c>
      <c r="C244" s="60">
        <f>IF(C243="","",IF(AND(MONTH(C243)&gt;=1,MONTH(C243)&lt;=3),1,IF(AND(MONTH(C243)&gt;=4,MONTH(C243)&lt;=6),2,IF(AND(MONTH(C243)&gt;=7,MONTH(C243)&lt;=9),3,4))))</f>
        <v>3</v>
      </c>
      <c r="D244" s="83"/>
      <c r="E244" s="62" t="s">
        <v>13191</v>
      </c>
      <c r="F244" s="61" t="s">
        <v>11111</v>
      </c>
      <c r="G244" s="5"/>
      <c r="H244" s="5"/>
      <c r="I244" s="5"/>
      <c r="J244" s="5"/>
    </row>
    <row r="245" spans="1:10" ht="14.1" customHeight="1" thickBot="1" x14ac:dyDescent="0.25">
      <c r="A245" s="5"/>
      <c r="B245" s="5"/>
      <c r="C245" s="5"/>
      <c r="D245" s="5"/>
      <c r="E245" s="5"/>
      <c r="F245" s="5"/>
      <c r="G245" s="5"/>
      <c r="H245" s="5"/>
      <c r="I245" s="5"/>
      <c r="J245" s="5"/>
    </row>
    <row r="246" spans="1:10" ht="14.1" customHeight="1" thickBot="1" x14ac:dyDescent="0.25">
      <c r="A246" s="67" t="s">
        <v>15735</v>
      </c>
      <c r="B246" s="67" t="s">
        <v>16146</v>
      </c>
      <c r="C246" s="67" t="s">
        <v>15641</v>
      </c>
      <c r="D246" s="67" t="s">
        <v>15251</v>
      </c>
      <c r="E246" s="67" t="s">
        <v>6932</v>
      </c>
      <c r="F246" s="67" t="s">
        <v>15280</v>
      </c>
      <c r="G246" s="5"/>
      <c r="H246" s="5"/>
      <c r="I246" s="5"/>
      <c r="J246" s="5"/>
    </row>
    <row r="247" spans="1:10" ht="13.5" customHeight="1" x14ac:dyDescent="0.2">
      <c r="A247" s="63">
        <v>72102304</v>
      </c>
      <c r="B247" s="64" t="str">
        <f ca="1">IFERROR(INDEX(UNSPSCDes,MATCH(INDIRECT(ADDRESS(ROW(),COLUMN()-1,4)),UNSPSCCode,0)),"")</f>
        <v>Mantenimiento o reparación de sistemas de fontanería</v>
      </c>
      <c r="C247" s="63" t="s">
        <v>1449</v>
      </c>
      <c r="D247" s="63">
        <v>1</v>
      </c>
      <c r="E247" s="66">
        <v>37500</v>
      </c>
      <c r="F247" s="65">
        <f ca="1">INDIRECT(ADDRESS(ROW(),COLUMN()-2,4))*INDIRECT(ADDRESS(ROW(),COLUMN()-1,4))</f>
        <v>37500</v>
      </c>
      <c r="G247" s="5"/>
      <c r="H247" s="5"/>
      <c r="I247" s="5"/>
      <c r="J247" s="5"/>
    </row>
    <row r="248" spans="1:10" ht="14.1" customHeight="1" x14ac:dyDescent="0.2">
      <c r="A248" s="5"/>
      <c r="B248" s="5"/>
      <c r="C248" s="5"/>
      <c r="D248" s="5"/>
      <c r="E248" s="68" t="s">
        <v>12549</v>
      </c>
      <c r="F248" s="69">
        <f ca="1">SUM(Table324[MONTO TOTAL ESTIMADO])</f>
        <v>37500</v>
      </c>
      <c r="G248" s="5"/>
      <c r="H248" s="5" t="str">
        <f>C240</f>
        <v>Servicios</v>
      </c>
      <c r="I248" s="5" t="str">
        <f>E240</f>
        <v>Sí</v>
      </c>
      <c r="J248" s="5" t="str">
        <f>D240</f>
        <v>Compras por debajo del Umbral</v>
      </c>
    </row>
    <row r="249" spans="1:10" ht="14.1" customHeight="1" thickBot="1" x14ac:dyDescent="0.3"/>
    <row r="250" spans="1:10" ht="33.75" customHeight="1" thickBot="1" x14ac:dyDescent="0.25">
      <c r="A250" s="59" t="s">
        <v>16382</v>
      </c>
      <c r="B250" s="59" t="s">
        <v>161</v>
      </c>
      <c r="C250" s="59" t="s">
        <v>11723</v>
      </c>
      <c r="D250" s="59" t="s">
        <v>14377</v>
      </c>
      <c r="E250" s="59" t="s">
        <v>10961</v>
      </c>
      <c r="F250" s="59" t="s">
        <v>11094</v>
      </c>
      <c r="G250" s="5"/>
      <c r="H250" s="5"/>
      <c r="I250" s="5"/>
      <c r="J250" s="5"/>
    </row>
    <row r="251" spans="1:10" ht="14.1" customHeight="1" thickBot="1" x14ac:dyDescent="0.25">
      <c r="A251" s="61" t="s">
        <v>18845</v>
      </c>
      <c r="B251" s="61" t="s">
        <v>18846</v>
      </c>
      <c r="C251" s="61" t="s">
        <v>6798</v>
      </c>
      <c r="D251" s="61" t="s">
        <v>10170</v>
      </c>
      <c r="E251" s="61" t="s">
        <v>8854</v>
      </c>
      <c r="F251" s="61"/>
      <c r="G251" s="5"/>
      <c r="H251" s="5"/>
      <c r="I251" s="5"/>
      <c r="J251" s="5"/>
    </row>
    <row r="252" spans="1:10" ht="14.1" customHeight="1" thickBot="1" x14ac:dyDescent="0.25">
      <c r="A252" s="82" t="s">
        <v>14828</v>
      </c>
      <c r="B252" s="62" t="s">
        <v>8528</v>
      </c>
      <c r="C252" s="71">
        <v>44470</v>
      </c>
      <c r="D252" s="82" t="s">
        <v>9385</v>
      </c>
      <c r="E252" s="62" t="s">
        <v>13092</v>
      </c>
      <c r="F252" s="61" t="s">
        <v>3080</v>
      </c>
      <c r="G252" s="5"/>
      <c r="H252" s="5"/>
      <c r="I252" s="5"/>
      <c r="J252" s="5"/>
    </row>
    <row r="253" spans="1:10" ht="14.1" customHeight="1" thickBot="1" x14ac:dyDescent="0.25">
      <c r="A253" s="83"/>
      <c r="B253" s="62" t="s">
        <v>1786</v>
      </c>
      <c r="C253" s="60">
        <f>IF(C252="","",IF(AND(MONTH(C252)&gt;=1,MONTH(C252)&lt;=3),1,IF(AND(MONTH(C252)&gt;=4,MONTH(C252)&lt;=6),2,IF(AND(MONTH(C252)&gt;=7,MONTH(C252)&lt;=9),3,4))))</f>
        <v>4</v>
      </c>
      <c r="D253" s="83"/>
      <c r="E253" s="62" t="s">
        <v>2417</v>
      </c>
      <c r="F253" s="61" t="s">
        <v>11111</v>
      </c>
      <c r="G253" s="5"/>
      <c r="H253" s="5"/>
      <c r="I253" s="5"/>
      <c r="J253" s="5"/>
    </row>
    <row r="254" spans="1:10" ht="14.1" customHeight="1" thickBot="1" x14ac:dyDescent="0.25">
      <c r="A254" s="83"/>
      <c r="B254" s="62" t="s">
        <v>12941</v>
      </c>
      <c r="C254" s="71">
        <v>44473</v>
      </c>
      <c r="D254" s="83"/>
      <c r="E254" s="62" t="s">
        <v>3073</v>
      </c>
      <c r="F254" s="61" t="s">
        <v>11111</v>
      </c>
      <c r="G254" s="5"/>
      <c r="H254" s="5"/>
      <c r="I254" s="5"/>
      <c r="J254" s="5"/>
    </row>
    <row r="255" spans="1:10" ht="14.1" customHeight="1" thickBot="1" x14ac:dyDescent="0.25">
      <c r="A255" s="83"/>
      <c r="B255" s="62" t="s">
        <v>1786</v>
      </c>
      <c r="C255" s="60">
        <f>IF(C254="","",IF(AND(MONTH(C254)&gt;=1,MONTH(C254)&lt;=3),1,IF(AND(MONTH(C254)&gt;=4,MONTH(C254)&lt;=6),2,IF(AND(MONTH(C254)&gt;=7,MONTH(C254)&lt;=9),3,4))))</f>
        <v>4</v>
      </c>
      <c r="D255" s="83"/>
      <c r="E255" s="62" t="s">
        <v>13191</v>
      </c>
      <c r="F255" s="61" t="s">
        <v>11111</v>
      </c>
      <c r="G255" s="5"/>
      <c r="H255" s="5"/>
      <c r="I255" s="5"/>
      <c r="J255" s="5"/>
    </row>
    <row r="256" spans="1:10" ht="14.1" customHeight="1" thickBot="1" x14ac:dyDescent="0.25">
      <c r="A256" s="5"/>
      <c r="B256" s="5"/>
      <c r="C256" s="5"/>
      <c r="D256" s="5"/>
      <c r="E256" s="5"/>
      <c r="F256" s="5"/>
      <c r="G256" s="5"/>
      <c r="H256" s="5"/>
      <c r="I256" s="5"/>
      <c r="J256" s="5"/>
    </row>
    <row r="257" spans="1:10" ht="14.1" customHeight="1" thickBot="1" x14ac:dyDescent="0.25">
      <c r="A257" s="67" t="s">
        <v>15735</v>
      </c>
      <c r="B257" s="67" t="s">
        <v>16146</v>
      </c>
      <c r="C257" s="67" t="s">
        <v>15641</v>
      </c>
      <c r="D257" s="67" t="s">
        <v>15251</v>
      </c>
      <c r="E257" s="67" t="s">
        <v>6932</v>
      </c>
      <c r="F257" s="67" t="s">
        <v>15280</v>
      </c>
      <c r="G257" s="5"/>
      <c r="H257" s="5"/>
      <c r="I257" s="5"/>
      <c r="J257" s="5"/>
    </row>
    <row r="258" spans="1:10" ht="13.5" customHeight="1" x14ac:dyDescent="0.2">
      <c r="A258" s="63">
        <v>72102304</v>
      </c>
      <c r="B258" s="64" t="str">
        <f ca="1">IFERROR(INDEX(UNSPSCDes,MATCH(INDIRECT(ADDRESS(ROW(),COLUMN()-1,4)),UNSPSCCode,0)),"")</f>
        <v>Mantenimiento o reparación de sistemas de fontanería</v>
      </c>
      <c r="C258" s="63" t="s">
        <v>1449</v>
      </c>
      <c r="D258" s="63">
        <v>1</v>
      </c>
      <c r="E258" s="66">
        <v>37500</v>
      </c>
      <c r="F258" s="65">
        <f ca="1">INDIRECT(ADDRESS(ROW(),COLUMN()-2,4))*INDIRECT(ADDRESS(ROW(),COLUMN()-1,4))</f>
        <v>37500</v>
      </c>
      <c r="G258" s="5"/>
      <c r="H258" s="5"/>
      <c r="I258" s="5"/>
      <c r="J258" s="5"/>
    </row>
    <row r="259" spans="1:10" ht="14.1" customHeight="1" x14ac:dyDescent="0.2">
      <c r="A259" s="5"/>
      <c r="B259" s="5"/>
      <c r="C259" s="5"/>
      <c r="D259" s="5"/>
      <c r="E259" s="68" t="s">
        <v>12549</v>
      </c>
      <c r="F259" s="69">
        <f ca="1">SUM(Table325[MONTO TOTAL ESTIMADO])</f>
        <v>37500</v>
      </c>
      <c r="G259" s="5"/>
      <c r="H259" s="5" t="str">
        <f>C251</f>
        <v>Servicios</v>
      </c>
      <c r="I259" s="5" t="str">
        <f>E251</f>
        <v>Sí</v>
      </c>
      <c r="J259" s="5" t="str">
        <f>D251</f>
        <v>Compras por debajo del Umbral</v>
      </c>
    </row>
    <row r="260" spans="1:10" ht="14.1" customHeight="1" thickBot="1" x14ac:dyDescent="0.3"/>
    <row r="261" spans="1:10" ht="33.75" customHeight="1" thickBot="1" x14ac:dyDescent="0.25">
      <c r="A261" s="59" t="s">
        <v>16382</v>
      </c>
      <c r="B261" s="59" t="s">
        <v>161</v>
      </c>
      <c r="C261" s="59" t="s">
        <v>11723</v>
      </c>
      <c r="D261" s="59" t="s">
        <v>14377</v>
      </c>
      <c r="E261" s="59" t="s">
        <v>10961</v>
      </c>
      <c r="F261" s="59" t="s">
        <v>11094</v>
      </c>
      <c r="G261" s="5"/>
      <c r="H261" s="5"/>
      <c r="I261" s="5"/>
      <c r="J261" s="5"/>
    </row>
    <row r="262" spans="1:10" ht="14.1" customHeight="1" thickBot="1" x14ac:dyDescent="0.25">
      <c r="A262" s="61" t="s">
        <v>18847</v>
      </c>
      <c r="B262" s="61" t="s">
        <v>18848</v>
      </c>
      <c r="C262" s="61" t="s">
        <v>6798</v>
      </c>
      <c r="D262" s="61" t="s">
        <v>10170</v>
      </c>
      <c r="E262" s="61" t="s">
        <v>8854</v>
      </c>
      <c r="F262" s="61"/>
      <c r="G262" s="5"/>
      <c r="H262" s="5"/>
      <c r="I262" s="5"/>
      <c r="J262" s="5"/>
    </row>
    <row r="263" spans="1:10" ht="14.1" customHeight="1" thickBot="1" x14ac:dyDescent="0.25">
      <c r="A263" s="82" t="s">
        <v>14828</v>
      </c>
      <c r="B263" s="62" t="s">
        <v>8528</v>
      </c>
      <c r="C263" s="71">
        <v>44197</v>
      </c>
      <c r="D263" s="82" t="s">
        <v>9385</v>
      </c>
      <c r="E263" s="62" t="s">
        <v>13092</v>
      </c>
      <c r="F263" s="61" t="s">
        <v>3080</v>
      </c>
      <c r="G263" s="5"/>
      <c r="H263" s="5"/>
      <c r="I263" s="5"/>
      <c r="J263" s="5"/>
    </row>
    <row r="264" spans="1:10" ht="14.1" customHeight="1" thickBot="1" x14ac:dyDescent="0.25">
      <c r="A264" s="83"/>
      <c r="B264" s="62" t="s">
        <v>1786</v>
      </c>
      <c r="C264" s="60">
        <f>IF(C263="","",IF(AND(MONTH(C263)&gt;=1,MONTH(C263)&lt;=3),1,IF(AND(MONTH(C263)&gt;=4,MONTH(C263)&lt;=6),2,IF(AND(MONTH(C263)&gt;=7,MONTH(C263)&lt;=9),3,4))))</f>
        <v>1</v>
      </c>
      <c r="D264" s="83"/>
      <c r="E264" s="62" t="s">
        <v>2417</v>
      </c>
      <c r="F264" s="61" t="s">
        <v>11111</v>
      </c>
      <c r="G264" s="5"/>
      <c r="H264" s="5"/>
      <c r="I264" s="5"/>
      <c r="J264" s="5"/>
    </row>
    <row r="265" spans="1:10" ht="14.1" customHeight="1" thickBot="1" x14ac:dyDescent="0.25">
      <c r="A265" s="83"/>
      <c r="B265" s="62" t="s">
        <v>12941</v>
      </c>
      <c r="C265" s="71">
        <v>44198</v>
      </c>
      <c r="D265" s="83"/>
      <c r="E265" s="62" t="s">
        <v>3073</v>
      </c>
      <c r="F265" s="61" t="s">
        <v>11111</v>
      </c>
      <c r="G265" s="5"/>
      <c r="H265" s="5"/>
      <c r="I265" s="5"/>
      <c r="J265" s="5"/>
    </row>
    <row r="266" spans="1:10" ht="14.1" customHeight="1" thickBot="1" x14ac:dyDescent="0.25">
      <c r="A266" s="83"/>
      <c r="B266" s="62" t="s">
        <v>1786</v>
      </c>
      <c r="C266" s="60">
        <f>IF(C265="","",IF(AND(MONTH(C265)&gt;=1,MONTH(C265)&lt;=3),1,IF(AND(MONTH(C265)&gt;=4,MONTH(C265)&lt;=6),2,IF(AND(MONTH(C265)&gt;=7,MONTH(C265)&lt;=9),3,4))))</f>
        <v>1</v>
      </c>
      <c r="D266" s="83"/>
      <c r="E266" s="62" t="s">
        <v>13191</v>
      </c>
      <c r="F266" s="61" t="s">
        <v>11111</v>
      </c>
      <c r="G266" s="5"/>
      <c r="H266" s="5"/>
      <c r="I266" s="5"/>
      <c r="J266" s="5"/>
    </row>
    <row r="267" spans="1:10" ht="14.1" customHeight="1" thickBot="1" x14ac:dyDescent="0.25">
      <c r="A267" s="5"/>
      <c r="B267" s="5"/>
      <c r="C267" s="5"/>
      <c r="D267" s="5"/>
      <c r="E267" s="5"/>
      <c r="F267" s="5"/>
      <c r="G267" s="5"/>
      <c r="H267" s="5"/>
      <c r="I267" s="5"/>
      <c r="J267" s="5"/>
    </row>
    <row r="268" spans="1:10" ht="14.1" customHeight="1" thickBot="1" x14ac:dyDescent="0.25">
      <c r="A268" s="67" t="s">
        <v>15735</v>
      </c>
      <c r="B268" s="67" t="s">
        <v>16146</v>
      </c>
      <c r="C268" s="67" t="s">
        <v>15641</v>
      </c>
      <c r="D268" s="67" t="s">
        <v>15251</v>
      </c>
      <c r="E268" s="67" t="s">
        <v>6932</v>
      </c>
      <c r="F268" s="67" t="s">
        <v>15280</v>
      </c>
      <c r="G268" s="5"/>
      <c r="H268" s="5"/>
      <c r="I268" s="5"/>
      <c r="J268" s="5"/>
    </row>
    <row r="269" spans="1:10" ht="13.5" customHeight="1" x14ac:dyDescent="0.2">
      <c r="A269" s="63">
        <v>39121701</v>
      </c>
      <c r="B269" s="64" t="str">
        <f ca="1">IFERROR(INDEX(UNSPSCDes,MATCH(INDIRECT(ADDRESS(ROW(),COLUMN()-1,4)),UNSPSCCode,0)),"")</f>
        <v>Soportes eléctricos</v>
      </c>
      <c r="C269" s="63" t="s">
        <v>1449</v>
      </c>
      <c r="D269" s="63">
        <v>1</v>
      </c>
      <c r="E269" s="66">
        <v>37500</v>
      </c>
      <c r="F269" s="65">
        <f ca="1">INDIRECT(ADDRESS(ROW(),COLUMN()-2,4))*INDIRECT(ADDRESS(ROW(),COLUMN()-1,4))</f>
        <v>37500</v>
      </c>
      <c r="G269" s="5"/>
      <c r="H269" s="5"/>
      <c r="I269" s="5"/>
      <c r="J269" s="5"/>
    </row>
    <row r="270" spans="1:10" ht="14.1" customHeight="1" x14ac:dyDescent="0.2">
      <c r="A270" s="5"/>
      <c r="B270" s="5"/>
      <c r="C270" s="5"/>
      <c r="D270" s="5"/>
      <c r="E270" s="68" t="s">
        <v>12549</v>
      </c>
      <c r="F270" s="69">
        <f ca="1">SUM(Table326[MONTO TOTAL ESTIMADO])</f>
        <v>37500</v>
      </c>
      <c r="G270" s="5"/>
      <c r="H270" s="5" t="str">
        <f>C262</f>
        <v>Servicios</v>
      </c>
      <c r="I270" s="5" t="str">
        <f>E262</f>
        <v>Sí</v>
      </c>
      <c r="J270" s="5" t="str">
        <f>D262</f>
        <v>Compras por debajo del Umbral</v>
      </c>
    </row>
    <row r="271" spans="1:10" ht="14.1" customHeight="1" thickBot="1" x14ac:dyDescent="0.3"/>
    <row r="272" spans="1:10" ht="33.75" customHeight="1" thickBot="1" x14ac:dyDescent="0.25">
      <c r="A272" s="59" t="s">
        <v>16382</v>
      </c>
      <c r="B272" s="59" t="s">
        <v>161</v>
      </c>
      <c r="C272" s="59" t="s">
        <v>11723</v>
      </c>
      <c r="D272" s="59" t="s">
        <v>14377</v>
      </c>
      <c r="E272" s="59" t="s">
        <v>10961</v>
      </c>
      <c r="F272" s="59" t="s">
        <v>11094</v>
      </c>
      <c r="G272" s="5"/>
      <c r="H272" s="5"/>
      <c r="I272" s="5"/>
      <c r="J272" s="5"/>
    </row>
    <row r="273" spans="1:10" ht="14.1" customHeight="1" thickBot="1" x14ac:dyDescent="0.25">
      <c r="A273" s="61" t="s">
        <v>18847</v>
      </c>
      <c r="B273" s="61" t="s">
        <v>18848</v>
      </c>
      <c r="C273" s="61" t="s">
        <v>6798</v>
      </c>
      <c r="D273" s="61" t="s">
        <v>10170</v>
      </c>
      <c r="E273" s="61" t="s">
        <v>8854</v>
      </c>
      <c r="F273" s="61"/>
      <c r="G273" s="5"/>
      <c r="H273" s="5"/>
      <c r="I273" s="5"/>
      <c r="J273" s="5"/>
    </row>
    <row r="274" spans="1:10" ht="14.1" customHeight="1" thickBot="1" x14ac:dyDescent="0.25">
      <c r="A274" s="82" t="s">
        <v>14828</v>
      </c>
      <c r="B274" s="62" t="s">
        <v>8528</v>
      </c>
      <c r="C274" s="71">
        <v>44287</v>
      </c>
      <c r="D274" s="82" t="s">
        <v>9385</v>
      </c>
      <c r="E274" s="62" t="s">
        <v>13092</v>
      </c>
      <c r="F274" s="61" t="s">
        <v>3080</v>
      </c>
      <c r="G274" s="5"/>
      <c r="H274" s="5"/>
      <c r="I274" s="5"/>
      <c r="J274" s="5"/>
    </row>
    <row r="275" spans="1:10" ht="14.1" customHeight="1" thickBot="1" x14ac:dyDescent="0.25">
      <c r="A275" s="83"/>
      <c r="B275" s="62" t="s">
        <v>1786</v>
      </c>
      <c r="C275" s="60">
        <f>IF(C274="","",IF(AND(MONTH(C274)&gt;=1,MONTH(C274)&lt;=3),1,IF(AND(MONTH(C274)&gt;=4,MONTH(C274)&lt;=6),2,IF(AND(MONTH(C274)&gt;=7,MONTH(C274)&lt;=9),3,4))))</f>
        <v>2</v>
      </c>
      <c r="D275" s="83"/>
      <c r="E275" s="62" t="s">
        <v>2417</v>
      </c>
      <c r="F275" s="61" t="s">
        <v>11111</v>
      </c>
      <c r="G275" s="5"/>
      <c r="H275" s="5"/>
      <c r="I275" s="5"/>
      <c r="J275" s="5"/>
    </row>
    <row r="276" spans="1:10" ht="14.1" customHeight="1" thickBot="1" x14ac:dyDescent="0.25">
      <c r="A276" s="83"/>
      <c r="B276" s="62" t="s">
        <v>12941</v>
      </c>
      <c r="C276" s="71">
        <v>44288</v>
      </c>
      <c r="D276" s="83"/>
      <c r="E276" s="62" t="s">
        <v>3073</v>
      </c>
      <c r="F276" s="61" t="s">
        <v>11111</v>
      </c>
      <c r="G276" s="5"/>
      <c r="H276" s="5"/>
      <c r="I276" s="5"/>
      <c r="J276" s="5"/>
    </row>
    <row r="277" spans="1:10" ht="14.1" customHeight="1" thickBot="1" x14ac:dyDescent="0.25">
      <c r="A277" s="83"/>
      <c r="B277" s="62" t="s">
        <v>1786</v>
      </c>
      <c r="C277" s="60">
        <f>IF(C276="","",IF(AND(MONTH(C276)&gt;=1,MONTH(C276)&lt;=3),1,IF(AND(MONTH(C276)&gt;=4,MONTH(C276)&lt;=6),2,IF(AND(MONTH(C276)&gt;=7,MONTH(C276)&lt;=9),3,4))))</f>
        <v>2</v>
      </c>
      <c r="D277" s="83"/>
      <c r="E277" s="62" t="s">
        <v>13191</v>
      </c>
      <c r="F277" s="61" t="s">
        <v>11111</v>
      </c>
      <c r="G277" s="5"/>
      <c r="H277" s="5"/>
      <c r="I277" s="5"/>
      <c r="J277" s="5"/>
    </row>
    <row r="278" spans="1:10" ht="14.1" customHeight="1" thickBot="1" x14ac:dyDescent="0.25">
      <c r="A278" s="5"/>
      <c r="B278" s="5"/>
      <c r="C278" s="5"/>
      <c r="D278" s="5"/>
      <c r="E278" s="5"/>
      <c r="F278" s="5"/>
      <c r="G278" s="5"/>
      <c r="H278" s="5"/>
      <c r="I278" s="5"/>
      <c r="J278" s="5"/>
    </row>
    <row r="279" spans="1:10" ht="14.1" customHeight="1" thickBot="1" x14ac:dyDescent="0.25">
      <c r="A279" s="67" t="s">
        <v>15735</v>
      </c>
      <c r="B279" s="67" t="s">
        <v>16146</v>
      </c>
      <c r="C279" s="67" t="s">
        <v>15641</v>
      </c>
      <c r="D279" s="67" t="s">
        <v>15251</v>
      </c>
      <c r="E279" s="67" t="s">
        <v>6932</v>
      </c>
      <c r="F279" s="67" t="s">
        <v>15280</v>
      </c>
      <c r="G279" s="5"/>
      <c r="H279" s="5"/>
      <c r="I279" s="5"/>
      <c r="J279" s="5"/>
    </row>
    <row r="280" spans="1:10" ht="13.5" customHeight="1" x14ac:dyDescent="0.2">
      <c r="A280" s="63">
        <v>39121701</v>
      </c>
      <c r="B280" s="64" t="str">
        <f ca="1">IFERROR(INDEX(UNSPSCDes,MATCH(INDIRECT(ADDRESS(ROW(),COLUMN()-1,4)),UNSPSCCode,0)),"")</f>
        <v>Soportes eléctricos</v>
      </c>
      <c r="C280" s="63" t="s">
        <v>1449</v>
      </c>
      <c r="D280" s="63">
        <v>1</v>
      </c>
      <c r="E280" s="66">
        <v>37500</v>
      </c>
      <c r="F280" s="65">
        <f ca="1">INDIRECT(ADDRESS(ROW(),COLUMN()-2,4))*INDIRECT(ADDRESS(ROW(),COLUMN()-1,4))</f>
        <v>37500</v>
      </c>
      <c r="G280" s="5"/>
      <c r="H280" s="5"/>
      <c r="I280" s="5"/>
      <c r="J280" s="5"/>
    </row>
    <row r="281" spans="1:10" ht="14.1" customHeight="1" x14ac:dyDescent="0.2">
      <c r="A281" s="5"/>
      <c r="B281" s="5"/>
      <c r="C281" s="5"/>
      <c r="D281" s="5"/>
      <c r="E281" s="68" t="s">
        <v>12549</v>
      </c>
      <c r="F281" s="69">
        <f ca="1">SUM(Table327[MONTO TOTAL ESTIMADO])</f>
        <v>37500</v>
      </c>
      <c r="G281" s="5"/>
      <c r="H281" s="5" t="str">
        <f>C273</f>
        <v>Servicios</v>
      </c>
      <c r="I281" s="5" t="str">
        <f>E273</f>
        <v>Sí</v>
      </c>
      <c r="J281" s="5" t="str">
        <f>D273</f>
        <v>Compras por debajo del Umbral</v>
      </c>
    </row>
    <row r="282" spans="1:10" ht="14.1" customHeight="1" thickBot="1" x14ac:dyDescent="0.3"/>
    <row r="283" spans="1:10" ht="33.75" customHeight="1" thickBot="1" x14ac:dyDescent="0.25">
      <c r="A283" s="59" t="s">
        <v>16382</v>
      </c>
      <c r="B283" s="59" t="s">
        <v>161</v>
      </c>
      <c r="C283" s="59" t="s">
        <v>11723</v>
      </c>
      <c r="D283" s="59" t="s">
        <v>14377</v>
      </c>
      <c r="E283" s="59" t="s">
        <v>10961</v>
      </c>
      <c r="F283" s="59" t="s">
        <v>11094</v>
      </c>
      <c r="G283" s="5"/>
      <c r="H283" s="5"/>
      <c r="I283" s="5"/>
      <c r="J283" s="5"/>
    </row>
    <row r="284" spans="1:10" ht="14.1" customHeight="1" thickBot="1" x14ac:dyDescent="0.25">
      <c r="A284" s="61" t="s">
        <v>18847</v>
      </c>
      <c r="B284" s="61" t="s">
        <v>18848</v>
      </c>
      <c r="C284" s="61" t="s">
        <v>6798</v>
      </c>
      <c r="D284" s="61" t="s">
        <v>10170</v>
      </c>
      <c r="E284" s="61" t="s">
        <v>8854</v>
      </c>
      <c r="F284" s="61"/>
      <c r="G284" s="5"/>
      <c r="H284" s="5"/>
      <c r="I284" s="5"/>
      <c r="J284" s="5"/>
    </row>
    <row r="285" spans="1:10" ht="14.1" customHeight="1" thickBot="1" x14ac:dyDescent="0.25">
      <c r="A285" s="82" t="s">
        <v>14828</v>
      </c>
      <c r="B285" s="62" t="s">
        <v>8528</v>
      </c>
      <c r="C285" s="71">
        <v>44378</v>
      </c>
      <c r="D285" s="82" t="s">
        <v>9385</v>
      </c>
      <c r="E285" s="62" t="s">
        <v>13092</v>
      </c>
      <c r="F285" s="61" t="s">
        <v>3080</v>
      </c>
      <c r="G285" s="5"/>
      <c r="H285" s="5"/>
      <c r="I285" s="5"/>
      <c r="J285" s="5"/>
    </row>
    <row r="286" spans="1:10" ht="14.1" customHeight="1" thickBot="1" x14ac:dyDescent="0.25">
      <c r="A286" s="83"/>
      <c r="B286" s="62" t="s">
        <v>1786</v>
      </c>
      <c r="C286" s="60">
        <f>IF(C285="","",IF(AND(MONTH(C285)&gt;=1,MONTH(C285)&lt;=3),1,IF(AND(MONTH(C285)&gt;=4,MONTH(C285)&lt;=6),2,IF(AND(MONTH(C285)&gt;=7,MONTH(C285)&lt;=9),3,4))))</f>
        <v>3</v>
      </c>
      <c r="D286" s="83"/>
      <c r="E286" s="62" t="s">
        <v>2417</v>
      </c>
      <c r="F286" s="61" t="s">
        <v>11111</v>
      </c>
      <c r="G286" s="5"/>
      <c r="H286" s="5"/>
      <c r="I286" s="5"/>
      <c r="J286" s="5"/>
    </row>
    <row r="287" spans="1:10" ht="14.1" customHeight="1" thickBot="1" x14ac:dyDescent="0.25">
      <c r="A287" s="83"/>
      <c r="B287" s="62" t="s">
        <v>12941</v>
      </c>
      <c r="C287" s="71">
        <v>44379</v>
      </c>
      <c r="D287" s="83"/>
      <c r="E287" s="62" t="s">
        <v>3073</v>
      </c>
      <c r="F287" s="61" t="s">
        <v>11111</v>
      </c>
      <c r="G287" s="5"/>
      <c r="H287" s="5"/>
      <c r="I287" s="5"/>
      <c r="J287" s="5"/>
    </row>
    <row r="288" spans="1:10" ht="14.1" customHeight="1" thickBot="1" x14ac:dyDescent="0.25">
      <c r="A288" s="83"/>
      <c r="B288" s="62" t="s">
        <v>1786</v>
      </c>
      <c r="C288" s="60">
        <f>IF(C287="","",IF(AND(MONTH(C287)&gt;=1,MONTH(C287)&lt;=3),1,IF(AND(MONTH(C287)&gt;=4,MONTH(C287)&lt;=6),2,IF(AND(MONTH(C287)&gt;=7,MONTH(C287)&lt;=9),3,4))))</f>
        <v>3</v>
      </c>
      <c r="D288" s="83"/>
      <c r="E288" s="62" t="s">
        <v>13191</v>
      </c>
      <c r="F288" s="61" t="s">
        <v>11111</v>
      </c>
      <c r="G288" s="5"/>
      <c r="H288" s="5"/>
      <c r="I288" s="5"/>
      <c r="J288" s="5"/>
    </row>
    <row r="289" spans="1:10" ht="14.1" customHeight="1" thickBot="1" x14ac:dyDescent="0.25">
      <c r="A289" s="5"/>
      <c r="B289" s="5"/>
      <c r="C289" s="5"/>
      <c r="D289" s="5"/>
      <c r="E289" s="5"/>
      <c r="F289" s="5"/>
      <c r="G289" s="5"/>
      <c r="H289" s="5"/>
      <c r="I289" s="5"/>
      <c r="J289" s="5"/>
    </row>
    <row r="290" spans="1:10" ht="14.1" customHeight="1" thickBot="1" x14ac:dyDescent="0.25">
      <c r="A290" s="67" t="s">
        <v>15735</v>
      </c>
      <c r="B290" s="67" t="s">
        <v>16146</v>
      </c>
      <c r="C290" s="67" t="s">
        <v>15641</v>
      </c>
      <c r="D290" s="67" t="s">
        <v>15251</v>
      </c>
      <c r="E290" s="67" t="s">
        <v>6932</v>
      </c>
      <c r="F290" s="67" t="s">
        <v>15280</v>
      </c>
      <c r="G290" s="5"/>
      <c r="H290" s="5"/>
      <c r="I290" s="5"/>
      <c r="J290" s="5"/>
    </row>
    <row r="291" spans="1:10" ht="13.5" customHeight="1" x14ac:dyDescent="0.2">
      <c r="A291" s="63">
        <v>39121701</v>
      </c>
      <c r="B291" s="64" t="str">
        <f ca="1">IFERROR(INDEX(UNSPSCDes,MATCH(INDIRECT(ADDRESS(ROW(),COLUMN()-1,4)),UNSPSCCode,0)),"")</f>
        <v>Soportes eléctricos</v>
      </c>
      <c r="C291" s="63" t="s">
        <v>1449</v>
      </c>
      <c r="D291" s="63">
        <v>1</v>
      </c>
      <c r="E291" s="66">
        <v>37500</v>
      </c>
      <c r="F291" s="65">
        <f ca="1">INDIRECT(ADDRESS(ROW(),COLUMN()-2,4))*INDIRECT(ADDRESS(ROW(),COLUMN()-1,4))</f>
        <v>37500</v>
      </c>
      <c r="G291" s="5"/>
      <c r="H291" s="5"/>
      <c r="I291" s="5"/>
      <c r="J291" s="5"/>
    </row>
    <row r="292" spans="1:10" ht="14.1" customHeight="1" x14ac:dyDescent="0.2">
      <c r="A292" s="5"/>
      <c r="B292" s="5"/>
      <c r="C292" s="5"/>
      <c r="D292" s="5"/>
      <c r="E292" s="68" t="s">
        <v>12549</v>
      </c>
      <c r="F292" s="69">
        <f ca="1">SUM(Table328[MONTO TOTAL ESTIMADO])</f>
        <v>37500</v>
      </c>
      <c r="G292" s="5"/>
      <c r="H292" s="5" t="str">
        <f>C284</f>
        <v>Servicios</v>
      </c>
      <c r="I292" s="5" t="str">
        <f>E284</f>
        <v>Sí</v>
      </c>
      <c r="J292" s="5" t="str">
        <f>D284</f>
        <v>Compras por debajo del Umbral</v>
      </c>
    </row>
    <row r="293" spans="1:10" ht="14.1" customHeight="1" thickBot="1" x14ac:dyDescent="0.3"/>
    <row r="294" spans="1:10" ht="33.75" customHeight="1" thickBot="1" x14ac:dyDescent="0.25">
      <c r="A294" s="59" t="s">
        <v>16382</v>
      </c>
      <c r="B294" s="59" t="s">
        <v>161</v>
      </c>
      <c r="C294" s="59" t="s">
        <v>11723</v>
      </c>
      <c r="D294" s="59" t="s">
        <v>14377</v>
      </c>
      <c r="E294" s="59" t="s">
        <v>10961</v>
      </c>
      <c r="F294" s="59" t="s">
        <v>11094</v>
      </c>
      <c r="G294" s="5"/>
      <c r="H294" s="5"/>
      <c r="I294" s="5"/>
      <c r="J294" s="5"/>
    </row>
    <row r="295" spans="1:10" ht="14.1" customHeight="1" thickBot="1" x14ac:dyDescent="0.25">
      <c r="A295" s="61" t="s">
        <v>18847</v>
      </c>
      <c r="B295" s="61" t="s">
        <v>18848</v>
      </c>
      <c r="C295" s="61" t="s">
        <v>6798</v>
      </c>
      <c r="D295" s="61" t="s">
        <v>10170</v>
      </c>
      <c r="E295" s="61" t="s">
        <v>8854</v>
      </c>
      <c r="F295" s="61"/>
      <c r="G295" s="5"/>
      <c r="H295" s="5"/>
      <c r="I295" s="5"/>
      <c r="J295" s="5"/>
    </row>
    <row r="296" spans="1:10" ht="14.1" customHeight="1" thickBot="1" x14ac:dyDescent="0.25">
      <c r="A296" s="82" t="s">
        <v>14828</v>
      </c>
      <c r="B296" s="62" t="s">
        <v>8528</v>
      </c>
      <c r="C296" s="71">
        <v>44470</v>
      </c>
      <c r="D296" s="82" t="s">
        <v>9385</v>
      </c>
      <c r="E296" s="62" t="s">
        <v>13092</v>
      </c>
      <c r="F296" s="61" t="s">
        <v>3080</v>
      </c>
      <c r="G296" s="5"/>
      <c r="H296" s="5"/>
      <c r="I296" s="5"/>
      <c r="J296" s="5"/>
    </row>
    <row r="297" spans="1:10" ht="14.1" customHeight="1" thickBot="1" x14ac:dyDescent="0.25">
      <c r="A297" s="83"/>
      <c r="B297" s="62" t="s">
        <v>1786</v>
      </c>
      <c r="C297" s="60">
        <f>IF(C296="","",IF(AND(MONTH(C296)&gt;=1,MONTH(C296)&lt;=3),1,IF(AND(MONTH(C296)&gt;=4,MONTH(C296)&lt;=6),2,IF(AND(MONTH(C296)&gt;=7,MONTH(C296)&lt;=9),3,4))))</f>
        <v>4</v>
      </c>
      <c r="D297" s="83"/>
      <c r="E297" s="62" t="s">
        <v>2417</v>
      </c>
      <c r="F297" s="61" t="s">
        <v>11111</v>
      </c>
      <c r="G297" s="5"/>
      <c r="H297" s="5"/>
      <c r="I297" s="5"/>
      <c r="J297" s="5"/>
    </row>
    <row r="298" spans="1:10" ht="14.1" customHeight="1" thickBot="1" x14ac:dyDescent="0.25">
      <c r="A298" s="83"/>
      <c r="B298" s="62" t="s">
        <v>12941</v>
      </c>
      <c r="C298" s="71">
        <v>44473</v>
      </c>
      <c r="D298" s="83"/>
      <c r="E298" s="62" t="s">
        <v>3073</v>
      </c>
      <c r="F298" s="61" t="s">
        <v>11111</v>
      </c>
      <c r="G298" s="5"/>
      <c r="H298" s="5"/>
      <c r="I298" s="5"/>
      <c r="J298" s="5"/>
    </row>
    <row r="299" spans="1:10" ht="14.1" customHeight="1" thickBot="1" x14ac:dyDescent="0.25">
      <c r="A299" s="83"/>
      <c r="B299" s="62" t="s">
        <v>1786</v>
      </c>
      <c r="C299" s="60">
        <f>IF(C298="","",IF(AND(MONTH(C298)&gt;=1,MONTH(C298)&lt;=3),1,IF(AND(MONTH(C298)&gt;=4,MONTH(C298)&lt;=6),2,IF(AND(MONTH(C298)&gt;=7,MONTH(C298)&lt;=9),3,4))))</f>
        <v>4</v>
      </c>
      <c r="D299" s="83"/>
      <c r="E299" s="62" t="s">
        <v>13191</v>
      </c>
      <c r="F299" s="61" t="s">
        <v>11111</v>
      </c>
      <c r="G299" s="5"/>
      <c r="H299" s="5"/>
      <c r="I299" s="5"/>
      <c r="J299" s="5"/>
    </row>
    <row r="300" spans="1:10" ht="14.1" customHeight="1" thickBot="1" x14ac:dyDescent="0.25">
      <c r="A300" s="5"/>
      <c r="B300" s="5"/>
      <c r="C300" s="5"/>
      <c r="D300" s="5"/>
      <c r="E300" s="5"/>
      <c r="F300" s="5"/>
      <c r="G300" s="5"/>
      <c r="H300" s="5"/>
      <c r="I300" s="5"/>
      <c r="J300" s="5"/>
    </row>
    <row r="301" spans="1:10" ht="14.1" customHeight="1" thickBot="1" x14ac:dyDescent="0.25">
      <c r="A301" s="67" t="s">
        <v>15735</v>
      </c>
      <c r="B301" s="67" t="s">
        <v>16146</v>
      </c>
      <c r="C301" s="67" t="s">
        <v>15641</v>
      </c>
      <c r="D301" s="67" t="s">
        <v>15251</v>
      </c>
      <c r="E301" s="67" t="s">
        <v>6932</v>
      </c>
      <c r="F301" s="67" t="s">
        <v>15280</v>
      </c>
      <c r="G301" s="5"/>
      <c r="H301" s="5"/>
      <c r="I301" s="5"/>
      <c r="J301" s="5"/>
    </row>
    <row r="302" spans="1:10" ht="13.5" customHeight="1" x14ac:dyDescent="0.2">
      <c r="A302" s="63">
        <v>39121701</v>
      </c>
      <c r="B302" s="64" t="str">
        <f ca="1">IFERROR(INDEX(UNSPSCDes,MATCH(INDIRECT(ADDRESS(ROW(),COLUMN()-1,4)),UNSPSCCode,0)),"")</f>
        <v>Soportes eléctricos</v>
      </c>
      <c r="C302" s="63" t="s">
        <v>1449</v>
      </c>
      <c r="D302" s="63">
        <v>1</v>
      </c>
      <c r="E302" s="66">
        <v>37500</v>
      </c>
      <c r="F302" s="65">
        <f ca="1">INDIRECT(ADDRESS(ROW(),COLUMN()-2,4))*INDIRECT(ADDRESS(ROW(),COLUMN()-1,4))</f>
        <v>37500</v>
      </c>
      <c r="G302" s="5"/>
      <c r="H302" s="5"/>
      <c r="I302" s="5"/>
      <c r="J302" s="5"/>
    </row>
    <row r="303" spans="1:10" ht="14.1" customHeight="1" x14ac:dyDescent="0.2">
      <c r="A303" s="5"/>
      <c r="B303" s="5"/>
      <c r="C303" s="5"/>
      <c r="D303" s="5"/>
      <c r="E303" s="68" t="s">
        <v>12549</v>
      </c>
      <c r="F303" s="69">
        <f ca="1">SUM(Table329[MONTO TOTAL ESTIMADO])</f>
        <v>37500</v>
      </c>
      <c r="G303" s="5"/>
      <c r="H303" s="5" t="str">
        <f>C295</f>
        <v>Servicios</v>
      </c>
      <c r="I303" s="5" t="str">
        <f>E295</f>
        <v>Sí</v>
      </c>
      <c r="J303" s="5" t="str">
        <f>D295</f>
        <v>Compras por debajo del Umbral</v>
      </c>
    </row>
    <row r="304" spans="1:10" ht="14.1" customHeight="1" thickBot="1" x14ac:dyDescent="0.3"/>
    <row r="305" spans="1:10" ht="33.75" customHeight="1" thickBot="1" x14ac:dyDescent="0.25">
      <c r="A305" s="59" t="s">
        <v>16382</v>
      </c>
      <c r="B305" s="59" t="s">
        <v>161</v>
      </c>
      <c r="C305" s="59" t="s">
        <v>11723</v>
      </c>
      <c r="D305" s="59" t="s">
        <v>14377</v>
      </c>
      <c r="E305" s="59" t="s">
        <v>10961</v>
      </c>
      <c r="F305" s="59" t="s">
        <v>11094</v>
      </c>
      <c r="G305" s="5"/>
      <c r="H305" s="5"/>
      <c r="I305" s="5"/>
      <c r="J305" s="5"/>
    </row>
    <row r="306" spans="1:10" ht="14.1" customHeight="1" thickBot="1" x14ac:dyDescent="0.25">
      <c r="A306" s="61" t="s">
        <v>18849</v>
      </c>
      <c r="B306" s="61" t="s">
        <v>18850</v>
      </c>
      <c r="C306" s="61" t="s">
        <v>6798</v>
      </c>
      <c r="D306" s="61" t="s">
        <v>10170</v>
      </c>
      <c r="E306" s="61" t="s">
        <v>8854</v>
      </c>
      <c r="F306" s="61"/>
      <c r="G306" s="5"/>
      <c r="H306" s="5"/>
      <c r="I306" s="5"/>
      <c r="J306" s="5"/>
    </row>
    <row r="307" spans="1:10" ht="14.1" customHeight="1" thickBot="1" x14ac:dyDescent="0.25">
      <c r="A307" s="82" t="s">
        <v>14828</v>
      </c>
      <c r="B307" s="62" t="s">
        <v>8528</v>
      </c>
      <c r="C307" s="71">
        <v>44197</v>
      </c>
      <c r="D307" s="82" t="s">
        <v>9385</v>
      </c>
      <c r="E307" s="62" t="s">
        <v>13092</v>
      </c>
      <c r="F307" s="61" t="s">
        <v>3080</v>
      </c>
      <c r="G307" s="5"/>
      <c r="H307" s="5"/>
      <c r="I307" s="5"/>
      <c r="J307" s="5"/>
    </row>
    <row r="308" spans="1:10" ht="14.1" customHeight="1" thickBot="1" x14ac:dyDescent="0.25">
      <c r="A308" s="83"/>
      <c r="B308" s="62" t="s">
        <v>1786</v>
      </c>
      <c r="C308" s="60">
        <f>IF(C307="","",IF(AND(MONTH(C307)&gt;=1,MONTH(C307)&lt;=3),1,IF(AND(MONTH(C307)&gt;=4,MONTH(C307)&lt;=6),2,IF(AND(MONTH(C307)&gt;=7,MONTH(C307)&lt;=9),3,4))))</f>
        <v>1</v>
      </c>
      <c r="D308" s="83"/>
      <c r="E308" s="62" t="s">
        <v>2417</v>
      </c>
      <c r="F308" s="61" t="s">
        <v>11111</v>
      </c>
      <c r="G308" s="5"/>
      <c r="H308" s="5"/>
      <c r="I308" s="5"/>
      <c r="J308" s="5"/>
    </row>
    <row r="309" spans="1:10" ht="14.1" customHeight="1" thickBot="1" x14ac:dyDescent="0.25">
      <c r="A309" s="83"/>
      <c r="B309" s="62" t="s">
        <v>12941</v>
      </c>
      <c r="C309" s="71">
        <v>44198</v>
      </c>
      <c r="D309" s="83"/>
      <c r="E309" s="62" t="s">
        <v>3073</v>
      </c>
      <c r="F309" s="61" t="s">
        <v>11111</v>
      </c>
      <c r="G309" s="5"/>
      <c r="H309" s="5"/>
      <c r="I309" s="5"/>
      <c r="J309" s="5"/>
    </row>
    <row r="310" spans="1:10" ht="14.1" customHeight="1" thickBot="1" x14ac:dyDescent="0.25">
      <c r="A310" s="83"/>
      <c r="B310" s="62" t="s">
        <v>1786</v>
      </c>
      <c r="C310" s="60">
        <f>IF(C309="","",IF(AND(MONTH(C309)&gt;=1,MONTH(C309)&lt;=3),1,IF(AND(MONTH(C309)&gt;=4,MONTH(C309)&lt;=6),2,IF(AND(MONTH(C309)&gt;=7,MONTH(C309)&lt;=9),3,4))))</f>
        <v>1</v>
      </c>
      <c r="D310" s="83"/>
      <c r="E310" s="62" t="s">
        <v>13191</v>
      </c>
      <c r="F310" s="61" t="s">
        <v>11111</v>
      </c>
      <c r="G310" s="5"/>
      <c r="H310" s="5"/>
      <c r="I310" s="5"/>
      <c r="J310" s="5"/>
    </row>
    <row r="311" spans="1:10" ht="14.1" customHeight="1" thickBot="1" x14ac:dyDescent="0.25">
      <c r="A311" s="5"/>
      <c r="B311" s="5"/>
      <c r="C311" s="5"/>
      <c r="D311" s="5"/>
      <c r="E311" s="5"/>
      <c r="F311" s="5"/>
      <c r="G311" s="5"/>
      <c r="H311" s="5"/>
      <c r="I311" s="5"/>
      <c r="J311" s="5"/>
    </row>
    <row r="312" spans="1:10" ht="14.1" customHeight="1" thickBot="1" x14ac:dyDescent="0.25">
      <c r="A312" s="67" t="s">
        <v>15735</v>
      </c>
      <c r="B312" s="67" t="s">
        <v>16146</v>
      </c>
      <c r="C312" s="67" t="s">
        <v>15641</v>
      </c>
      <c r="D312" s="67" t="s">
        <v>15251</v>
      </c>
      <c r="E312" s="67" t="s">
        <v>6932</v>
      </c>
      <c r="F312" s="67" t="s">
        <v>15280</v>
      </c>
      <c r="G312" s="5"/>
      <c r="H312" s="5"/>
      <c r="I312" s="5"/>
      <c r="J312" s="5"/>
    </row>
    <row r="313" spans="1:10" ht="13.5" customHeight="1" x14ac:dyDescent="0.2">
      <c r="A313" s="63">
        <v>81141804</v>
      </c>
      <c r="B313" s="64" t="str">
        <f ca="1">IFERROR(INDEX(UNSPSCDes,MATCH(INDIRECT(ADDRESS(ROW(),COLUMN()-1,4)),UNSPSCCode,0)),"")</f>
        <v>Servicio de inspección de equipos</v>
      </c>
      <c r="C313" s="63" t="s">
        <v>1449</v>
      </c>
      <c r="D313" s="63">
        <v>1</v>
      </c>
      <c r="E313" s="66">
        <v>50000</v>
      </c>
      <c r="F313" s="65">
        <f ca="1">INDIRECT(ADDRESS(ROW(),COLUMN()-2,4))*INDIRECT(ADDRESS(ROW(),COLUMN()-1,4))</f>
        <v>50000</v>
      </c>
      <c r="G313" s="5"/>
      <c r="H313" s="5"/>
      <c r="I313" s="5"/>
      <c r="J313" s="5"/>
    </row>
    <row r="314" spans="1:10" ht="14.1" customHeight="1" x14ac:dyDescent="0.2">
      <c r="A314" s="5"/>
      <c r="B314" s="5"/>
      <c r="C314" s="5"/>
      <c r="D314" s="5"/>
      <c r="E314" s="68" t="s">
        <v>12549</v>
      </c>
      <c r="F314" s="69">
        <f ca="1">SUM(Table330[MONTO TOTAL ESTIMADO])</f>
        <v>50000</v>
      </c>
      <c r="G314" s="5"/>
      <c r="H314" s="5" t="str">
        <f>C306</f>
        <v>Servicios</v>
      </c>
      <c r="I314" s="5" t="str">
        <f>E306</f>
        <v>Sí</v>
      </c>
      <c r="J314" s="5" t="str">
        <f>D306</f>
        <v>Compras por debajo del Umbral</v>
      </c>
    </row>
    <row r="315" spans="1:10" ht="14.1" customHeight="1" thickBot="1" x14ac:dyDescent="0.3"/>
    <row r="316" spans="1:10" ht="33.75" customHeight="1" thickBot="1" x14ac:dyDescent="0.25">
      <c r="A316" s="59" t="s">
        <v>16382</v>
      </c>
      <c r="B316" s="59" t="s">
        <v>161</v>
      </c>
      <c r="C316" s="59" t="s">
        <v>11723</v>
      </c>
      <c r="D316" s="59" t="s">
        <v>14377</v>
      </c>
      <c r="E316" s="59" t="s">
        <v>10961</v>
      </c>
      <c r="F316" s="59" t="s">
        <v>11094</v>
      </c>
      <c r="G316" s="5"/>
      <c r="H316" s="5"/>
      <c r="I316" s="5"/>
      <c r="J316" s="5"/>
    </row>
    <row r="317" spans="1:10" ht="13.5" customHeight="1" thickBot="1" x14ac:dyDescent="0.25">
      <c r="A317" s="61" t="s">
        <v>18849</v>
      </c>
      <c r="B317" s="61" t="s">
        <v>18850</v>
      </c>
      <c r="C317" s="61" t="s">
        <v>6798</v>
      </c>
      <c r="D317" s="61" t="s">
        <v>10170</v>
      </c>
      <c r="E317" s="61" t="s">
        <v>8854</v>
      </c>
      <c r="F317" s="61"/>
      <c r="G317" s="5"/>
      <c r="H317" s="5"/>
      <c r="I317" s="5"/>
      <c r="J317" s="5"/>
    </row>
    <row r="318" spans="1:10" ht="14.1" customHeight="1" thickBot="1" x14ac:dyDescent="0.25">
      <c r="A318" s="82" t="s">
        <v>14828</v>
      </c>
      <c r="B318" s="62" t="s">
        <v>8528</v>
      </c>
      <c r="C318" s="71">
        <v>44287</v>
      </c>
      <c r="D318" s="82" t="s">
        <v>9385</v>
      </c>
      <c r="E318" s="62" t="s">
        <v>13092</v>
      </c>
      <c r="F318" s="61" t="s">
        <v>3080</v>
      </c>
      <c r="G318" s="5"/>
      <c r="H318" s="5"/>
      <c r="I318" s="5"/>
      <c r="J318" s="5"/>
    </row>
    <row r="319" spans="1:10" ht="14.1" customHeight="1" thickBot="1" x14ac:dyDescent="0.25">
      <c r="A319" s="83"/>
      <c r="B319" s="62" t="s">
        <v>1786</v>
      </c>
      <c r="C319" s="60">
        <f>IF(C318="","",IF(AND(MONTH(C318)&gt;=1,MONTH(C318)&lt;=3),1,IF(AND(MONTH(C318)&gt;=4,MONTH(C318)&lt;=6),2,IF(AND(MONTH(C318)&gt;=7,MONTH(C318)&lt;=9),3,4))))</f>
        <v>2</v>
      </c>
      <c r="D319" s="83"/>
      <c r="E319" s="62" t="s">
        <v>2417</v>
      </c>
      <c r="F319" s="61" t="s">
        <v>11111</v>
      </c>
      <c r="G319" s="5"/>
      <c r="H319" s="5"/>
      <c r="I319" s="5"/>
      <c r="J319" s="5"/>
    </row>
    <row r="320" spans="1:10" ht="14.1" customHeight="1" thickBot="1" x14ac:dyDescent="0.25">
      <c r="A320" s="83"/>
      <c r="B320" s="62" t="s">
        <v>12941</v>
      </c>
      <c r="C320" s="71">
        <v>44288</v>
      </c>
      <c r="D320" s="83"/>
      <c r="E320" s="62" t="s">
        <v>3073</v>
      </c>
      <c r="F320" s="61" t="s">
        <v>11111</v>
      </c>
      <c r="G320" s="5"/>
      <c r="H320" s="5"/>
      <c r="I320" s="5"/>
      <c r="J320" s="5"/>
    </row>
    <row r="321" spans="1:10" ht="14.1" customHeight="1" thickBot="1" x14ac:dyDescent="0.25">
      <c r="A321" s="83"/>
      <c r="B321" s="62" t="s">
        <v>1786</v>
      </c>
      <c r="C321" s="60">
        <f>IF(C320="","",IF(AND(MONTH(C320)&gt;=1,MONTH(C320)&lt;=3),1,IF(AND(MONTH(C320)&gt;=4,MONTH(C320)&lt;=6),2,IF(AND(MONTH(C320)&gt;=7,MONTH(C320)&lt;=9),3,4))))</f>
        <v>2</v>
      </c>
      <c r="D321" s="83"/>
      <c r="E321" s="62" t="s">
        <v>13191</v>
      </c>
      <c r="F321" s="61" t="s">
        <v>11111</v>
      </c>
      <c r="G321" s="5"/>
      <c r="H321" s="5"/>
      <c r="I321" s="5"/>
      <c r="J321" s="5"/>
    </row>
    <row r="322" spans="1:10" ht="14.1" customHeight="1" thickBot="1" x14ac:dyDescent="0.25">
      <c r="A322" s="5"/>
      <c r="B322" s="5"/>
      <c r="C322" s="5"/>
      <c r="D322" s="5"/>
      <c r="E322" s="5"/>
      <c r="F322" s="5"/>
      <c r="G322" s="5"/>
      <c r="H322" s="5"/>
      <c r="I322" s="5"/>
      <c r="J322" s="5"/>
    </row>
    <row r="323" spans="1:10" ht="14.1" customHeight="1" thickBot="1" x14ac:dyDescent="0.25">
      <c r="A323" s="67" t="s">
        <v>15735</v>
      </c>
      <c r="B323" s="67" t="s">
        <v>16146</v>
      </c>
      <c r="C323" s="67" t="s">
        <v>15641</v>
      </c>
      <c r="D323" s="67" t="s">
        <v>15251</v>
      </c>
      <c r="E323" s="67" t="s">
        <v>6932</v>
      </c>
      <c r="F323" s="67" t="s">
        <v>15280</v>
      </c>
      <c r="G323" s="5"/>
      <c r="H323" s="5"/>
      <c r="I323" s="5"/>
      <c r="J323" s="5"/>
    </row>
    <row r="324" spans="1:10" ht="13.5" customHeight="1" x14ac:dyDescent="0.2">
      <c r="A324" s="63">
        <v>81111811</v>
      </c>
      <c r="B324" s="64" t="str">
        <f ca="1">IFERROR(INDEX(UNSPSCDes,MATCH(INDIRECT(ADDRESS(ROW(),COLUMN()-1,4)),UNSPSCCode,0)),"")</f>
        <v>Servicios de soporte técnico o de mesa de ayuda</v>
      </c>
      <c r="C324" s="63" t="s">
        <v>1449</v>
      </c>
      <c r="D324" s="63">
        <v>1</v>
      </c>
      <c r="E324" s="66">
        <v>50000</v>
      </c>
      <c r="F324" s="65">
        <f ca="1">INDIRECT(ADDRESS(ROW(),COLUMN()-2,4))*INDIRECT(ADDRESS(ROW(),COLUMN()-1,4))</f>
        <v>50000</v>
      </c>
      <c r="G324" s="5"/>
      <c r="H324" s="5"/>
      <c r="I324" s="5"/>
      <c r="J324" s="5"/>
    </row>
    <row r="325" spans="1:10" ht="14.1" customHeight="1" x14ac:dyDescent="0.2">
      <c r="A325" s="5"/>
      <c r="B325" s="5"/>
      <c r="C325" s="5"/>
      <c r="D325" s="5"/>
      <c r="E325" s="68" t="s">
        <v>12549</v>
      </c>
      <c r="F325" s="69">
        <f ca="1">SUM(Table331[MONTO TOTAL ESTIMADO])</f>
        <v>50000</v>
      </c>
      <c r="G325" s="5"/>
      <c r="H325" s="5" t="str">
        <f>C317</f>
        <v>Servicios</v>
      </c>
      <c r="I325" s="5" t="str">
        <f>E317</f>
        <v>Sí</v>
      </c>
      <c r="J325" s="5" t="str">
        <f>D317</f>
        <v>Compras por debajo del Umbral</v>
      </c>
    </row>
    <row r="326" spans="1:10" ht="14.1" customHeight="1" thickBot="1" x14ac:dyDescent="0.3"/>
    <row r="327" spans="1:10" ht="33.75" customHeight="1" thickBot="1" x14ac:dyDescent="0.25">
      <c r="A327" s="59" t="s">
        <v>16382</v>
      </c>
      <c r="B327" s="59" t="s">
        <v>161</v>
      </c>
      <c r="C327" s="59" t="s">
        <v>11723</v>
      </c>
      <c r="D327" s="59" t="s">
        <v>14377</v>
      </c>
      <c r="E327" s="59" t="s">
        <v>10961</v>
      </c>
      <c r="F327" s="59" t="s">
        <v>11094</v>
      </c>
      <c r="G327" s="5"/>
      <c r="H327" s="5"/>
      <c r="I327" s="5"/>
      <c r="J327" s="5"/>
    </row>
    <row r="328" spans="1:10" ht="14.1" customHeight="1" thickBot="1" x14ac:dyDescent="0.25">
      <c r="A328" s="61" t="s">
        <v>18849</v>
      </c>
      <c r="B328" s="61" t="s">
        <v>18850</v>
      </c>
      <c r="C328" s="61" t="s">
        <v>6798</v>
      </c>
      <c r="D328" s="61" t="s">
        <v>10170</v>
      </c>
      <c r="E328" s="61" t="s">
        <v>8854</v>
      </c>
      <c r="F328" s="61"/>
      <c r="G328" s="5"/>
      <c r="H328" s="5"/>
      <c r="I328" s="5"/>
      <c r="J328" s="5"/>
    </row>
    <row r="329" spans="1:10" ht="14.1" customHeight="1" thickBot="1" x14ac:dyDescent="0.25">
      <c r="A329" s="82" t="s">
        <v>14828</v>
      </c>
      <c r="B329" s="62" t="s">
        <v>8528</v>
      </c>
      <c r="C329" s="71">
        <v>44378</v>
      </c>
      <c r="D329" s="82" t="s">
        <v>9385</v>
      </c>
      <c r="E329" s="62" t="s">
        <v>13092</v>
      </c>
      <c r="F329" s="61" t="s">
        <v>3080</v>
      </c>
      <c r="G329" s="5"/>
      <c r="H329" s="5"/>
      <c r="I329" s="5"/>
      <c r="J329" s="5"/>
    </row>
    <row r="330" spans="1:10" ht="14.1" customHeight="1" thickBot="1" x14ac:dyDescent="0.25">
      <c r="A330" s="83"/>
      <c r="B330" s="62" t="s">
        <v>1786</v>
      </c>
      <c r="C330" s="60">
        <f>IF(C329="","",IF(AND(MONTH(C329)&gt;=1,MONTH(C329)&lt;=3),1,IF(AND(MONTH(C329)&gt;=4,MONTH(C329)&lt;=6),2,IF(AND(MONTH(C329)&gt;=7,MONTH(C329)&lt;=9),3,4))))</f>
        <v>3</v>
      </c>
      <c r="D330" s="83"/>
      <c r="E330" s="62" t="s">
        <v>2417</v>
      </c>
      <c r="F330" s="61" t="s">
        <v>11111</v>
      </c>
      <c r="G330" s="5"/>
      <c r="H330" s="5"/>
      <c r="I330" s="5"/>
      <c r="J330" s="5"/>
    </row>
    <row r="331" spans="1:10" ht="14.1" customHeight="1" thickBot="1" x14ac:dyDescent="0.25">
      <c r="A331" s="83"/>
      <c r="B331" s="62" t="s">
        <v>12941</v>
      </c>
      <c r="C331" s="71">
        <v>44379</v>
      </c>
      <c r="D331" s="83"/>
      <c r="E331" s="62" t="s">
        <v>3073</v>
      </c>
      <c r="F331" s="61" t="s">
        <v>11111</v>
      </c>
      <c r="G331" s="5"/>
      <c r="H331" s="5"/>
      <c r="I331" s="5"/>
      <c r="J331" s="5"/>
    </row>
    <row r="332" spans="1:10" ht="14.1" customHeight="1" thickBot="1" x14ac:dyDescent="0.25">
      <c r="A332" s="83"/>
      <c r="B332" s="62" t="s">
        <v>1786</v>
      </c>
      <c r="C332" s="60">
        <f>IF(C331="","",IF(AND(MONTH(C331)&gt;=1,MONTH(C331)&lt;=3),1,IF(AND(MONTH(C331)&gt;=4,MONTH(C331)&lt;=6),2,IF(AND(MONTH(C331)&gt;=7,MONTH(C331)&lt;=9),3,4))))</f>
        <v>3</v>
      </c>
      <c r="D332" s="83"/>
      <c r="E332" s="62" t="s">
        <v>13191</v>
      </c>
      <c r="F332" s="61" t="s">
        <v>11111</v>
      </c>
      <c r="G332" s="5"/>
      <c r="H332" s="5"/>
      <c r="I332" s="5"/>
      <c r="J332" s="5"/>
    </row>
    <row r="333" spans="1:10" ht="14.1" customHeight="1" thickBot="1" x14ac:dyDescent="0.25">
      <c r="A333" s="5"/>
      <c r="B333" s="5"/>
      <c r="C333" s="5"/>
      <c r="D333" s="5"/>
      <c r="E333" s="5"/>
      <c r="F333" s="5"/>
      <c r="G333" s="5"/>
      <c r="H333" s="5"/>
      <c r="I333" s="5"/>
      <c r="J333" s="5"/>
    </row>
    <row r="334" spans="1:10" ht="14.1" customHeight="1" thickBot="1" x14ac:dyDescent="0.25">
      <c r="A334" s="67" t="s">
        <v>15735</v>
      </c>
      <c r="B334" s="67" t="s">
        <v>16146</v>
      </c>
      <c r="C334" s="67" t="s">
        <v>15641</v>
      </c>
      <c r="D334" s="67" t="s">
        <v>15251</v>
      </c>
      <c r="E334" s="67" t="s">
        <v>6932</v>
      </c>
      <c r="F334" s="67" t="s">
        <v>15280</v>
      </c>
      <c r="G334" s="5"/>
      <c r="H334" s="5"/>
      <c r="I334" s="5"/>
      <c r="J334" s="5"/>
    </row>
    <row r="335" spans="1:10" ht="13.5" customHeight="1" x14ac:dyDescent="0.2">
      <c r="A335" s="63">
        <v>81111811</v>
      </c>
      <c r="B335" s="64" t="str">
        <f ca="1">IFERROR(INDEX(UNSPSCDes,MATCH(INDIRECT(ADDRESS(ROW(),COLUMN()-1,4)),UNSPSCCode,0)),"")</f>
        <v>Servicios de soporte técnico o de mesa de ayuda</v>
      </c>
      <c r="C335" s="63" t="s">
        <v>1449</v>
      </c>
      <c r="D335" s="63">
        <v>1</v>
      </c>
      <c r="E335" s="66">
        <v>50000</v>
      </c>
      <c r="F335" s="65">
        <f ca="1">INDIRECT(ADDRESS(ROW(),COLUMN()-2,4))*INDIRECT(ADDRESS(ROW(),COLUMN()-1,4))</f>
        <v>50000</v>
      </c>
      <c r="G335" s="5"/>
      <c r="H335" s="5"/>
      <c r="I335" s="5"/>
      <c r="J335" s="5"/>
    </row>
    <row r="336" spans="1:10" ht="14.1" customHeight="1" x14ac:dyDescent="0.2">
      <c r="A336" s="5"/>
      <c r="B336" s="5"/>
      <c r="C336" s="5"/>
      <c r="D336" s="5"/>
      <c r="E336" s="68" t="s">
        <v>12549</v>
      </c>
      <c r="F336" s="69">
        <f ca="1">SUM(Table332[MONTO TOTAL ESTIMADO])</f>
        <v>50000</v>
      </c>
      <c r="G336" s="5"/>
      <c r="H336" s="5" t="str">
        <f>C328</f>
        <v>Servicios</v>
      </c>
      <c r="I336" s="5" t="str">
        <f>E328</f>
        <v>Sí</v>
      </c>
      <c r="J336" s="5" t="str">
        <f>D328</f>
        <v>Compras por debajo del Umbral</v>
      </c>
    </row>
    <row r="337" spans="1:10" ht="14.1" customHeight="1" thickBot="1" x14ac:dyDescent="0.3"/>
    <row r="338" spans="1:10" ht="33.75" customHeight="1" thickBot="1" x14ac:dyDescent="0.25">
      <c r="A338" s="59" t="s">
        <v>16382</v>
      </c>
      <c r="B338" s="59" t="s">
        <v>161</v>
      </c>
      <c r="C338" s="59" t="s">
        <v>11723</v>
      </c>
      <c r="D338" s="59" t="s">
        <v>14377</v>
      </c>
      <c r="E338" s="59" t="s">
        <v>10961</v>
      </c>
      <c r="F338" s="59" t="s">
        <v>11094</v>
      </c>
      <c r="G338" s="5"/>
      <c r="H338" s="5"/>
      <c r="I338" s="5"/>
      <c r="J338" s="5"/>
    </row>
    <row r="339" spans="1:10" ht="14.1" customHeight="1" thickBot="1" x14ac:dyDescent="0.25">
      <c r="A339" s="61" t="s">
        <v>18849</v>
      </c>
      <c r="B339" s="61" t="s">
        <v>18850</v>
      </c>
      <c r="C339" s="61" t="s">
        <v>6798</v>
      </c>
      <c r="D339" s="61" t="s">
        <v>10170</v>
      </c>
      <c r="E339" s="61" t="s">
        <v>8854</v>
      </c>
      <c r="F339" s="61"/>
      <c r="G339" s="5"/>
      <c r="H339" s="5"/>
      <c r="I339" s="5"/>
      <c r="J339" s="5"/>
    </row>
    <row r="340" spans="1:10" ht="14.1" customHeight="1" thickBot="1" x14ac:dyDescent="0.25">
      <c r="A340" s="82" t="s">
        <v>14828</v>
      </c>
      <c r="B340" s="62" t="s">
        <v>8528</v>
      </c>
      <c r="C340" s="71">
        <v>44470</v>
      </c>
      <c r="D340" s="82" t="s">
        <v>9385</v>
      </c>
      <c r="E340" s="62" t="s">
        <v>13092</v>
      </c>
      <c r="F340" s="61" t="s">
        <v>3080</v>
      </c>
      <c r="G340" s="5"/>
      <c r="H340" s="5"/>
      <c r="I340" s="5"/>
      <c r="J340" s="5"/>
    </row>
    <row r="341" spans="1:10" ht="14.1" customHeight="1" thickBot="1" x14ac:dyDescent="0.25">
      <c r="A341" s="83"/>
      <c r="B341" s="62" t="s">
        <v>1786</v>
      </c>
      <c r="C341" s="60">
        <f>IF(C340="","",IF(AND(MONTH(C340)&gt;=1,MONTH(C340)&lt;=3),1,IF(AND(MONTH(C340)&gt;=4,MONTH(C340)&lt;=6),2,IF(AND(MONTH(C340)&gt;=7,MONTH(C340)&lt;=9),3,4))))</f>
        <v>4</v>
      </c>
      <c r="D341" s="83"/>
      <c r="E341" s="62" t="s">
        <v>2417</v>
      </c>
      <c r="F341" s="61" t="s">
        <v>11111</v>
      </c>
      <c r="G341" s="5"/>
      <c r="H341" s="5"/>
      <c r="I341" s="5"/>
      <c r="J341" s="5"/>
    </row>
    <row r="342" spans="1:10" ht="14.1" customHeight="1" thickBot="1" x14ac:dyDescent="0.25">
      <c r="A342" s="83"/>
      <c r="B342" s="62" t="s">
        <v>12941</v>
      </c>
      <c r="C342" s="71">
        <v>44473</v>
      </c>
      <c r="D342" s="83"/>
      <c r="E342" s="62" t="s">
        <v>3073</v>
      </c>
      <c r="F342" s="61" t="s">
        <v>11111</v>
      </c>
      <c r="G342" s="5"/>
      <c r="H342" s="5"/>
      <c r="I342" s="5"/>
      <c r="J342" s="5"/>
    </row>
    <row r="343" spans="1:10" ht="14.1" customHeight="1" thickBot="1" x14ac:dyDescent="0.25">
      <c r="A343" s="83"/>
      <c r="B343" s="62" t="s">
        <v>1786</v>
      </c>
      <c r="C343" s="60">
        <f>IF(C342="","",IF(AND(MONTH(C342)&gt;=1,MONTH(C342)&lt;=3),1,IF(AND(MONTH(C342)&gt;=4,MONTH(C342)&lt;=6),2,IF(AND(MONTH(C342)&gt;=7,MONTH(C342)&lt;=9),3,4))))</f>
        <v>4</v>
      </c>
      <c r="D343" s="83"/>
      <c r="E343" s="62" t="s">
        <v>13191</v>
      </c>
      <c r="F343" s="61" t="s">
        <v>11111</v>
      </c>
      <c r="G343" s="5"/>
      <c r="H343" s="5"/>
      <c r="I343" s="5"/>
      <c r="J343" s="5"/>
    </row>
    <row r="344" spans="1:10" ht="14.1" customHeight="1" thickBot="1" x14ac:dyDescent="0.25">
      <c r="A344" s="5"/>
      <c r="B344" s="5"/>
      <c r="C344" s="5"/>
      <c r="D344" s="5"/>
      <c r="E344" s="5"/>
      <c r="F344" s="5"/>
      <c r="G344" s="5"/>
      <c r="H344" s="5"/>
      <c r="I344" s="5"/>
      <c r="J344" s="5"/>
    </row>
    <row r="345" spans="1:10" ht="14.1" customHeight="1" thickBot="1" x14ac:dyDescent="0.25">
      <c r="A345" s="67" t="s">
        <v>15735</v>
      </c>
      <c r="B345" s="67" t="s">
        <v>16146</v>
      </c>
      <c r="C345" s="67" t="s">
        <v>15641</v>
      </c>
      <c r="D345" s="67" t="s">
        <v>15251</v>
      </c>
      <c r="E345" s="67" t="s">
        <v>6932</v>
      </c>
      <c r="F345" s="67" t="s">
        <v>15280</v>
      </c>
      <c r="G345" s="5"/>
      <c r="H345" s="5"/>
      <c r="I345" s="5"/>
      <c r="J345" s="5"/>
    </row>
    <row r="346" spans="1:10" ht="13.5" customHeight="1" x14ac:dyDescent="0.2">
      <c r="A346" s="63">
        <v>81111811</v>
      </c>
      <c r="B346" s="64" t="str">
        <f ca="1">IFERROR(INDEX(UNSPSCDes,MATCH(INDIRECT(ADDRESS(ROW(),COLUMN()-1,4)),UNSPSCCode,0)),"")</f>
        <v>Servicios de soporte técnico o de mesa de ayuda</v>
      </c>
      <c r="C346" s="63" t="s">
        <v>1449</v>
      </c>
      <c r="D346" s="63">
        <v>1</v>
      </c>
      <c r="E346" s="66">
        <v>50000</v>
      </c>
      <c r="F346" s="65">
        <f ca="1">INDIRECT(ADDRESS(ROW(),COLUMN()-2,4))*INDIRECT(ADDRESS(ROW(),COLUMN()-1,4))</f>
        <v>50000</v>
      </c>
      <c r="G346" s="5"/>
      <c r="H346" s="5"/>
      <c r="I346" s="5"/>
      <c r="J346" s="5"/>
    </row>
    <row r="347" spans="1:10" ht="14.1" customHeight="1" x14ac:dyDescent="0.2">
      <c r="A347" s="5"/>
      <c r="B347" s="5"/>
      <c r="C347" s="5"/>
      <c r="D347" s="5"/>
      <c r="E347" s="68" t="s">
        <v>12549</v>
      </c>
      <c r="F347" s="69">
        <f ca="1">SUM(Table333[MONTO TOTAL ESTIMADO])</f>
        <v>50000</v>
      </c>
      <c r="G347" s="5"/>
      <c r="H347" s="5" t="str">
        <f>C339</f>
        <v>Servicios</v>
      </c>
      <c r="I347" s="5" t="str">
        <f>E339</f>
        <v>Sí</v>
      </c>
      <c r="J347" s="5" t="str">
        <f>D339</f>
        <v>Compras por debajo del Umbral</v>
      </c>
    </row>
    <row r="348" spans="1:10" ht="14.1" customHeight="1" thickBot="1" x14ac:dyDescent="0.3"/>
    <row r="349" spans="1:10" ht="33.75" customHeight="1" thickBot="1" x14ac:dyDescent="0.25">
      <c r="A349" s="59" t="s">
        <v>16382</v>
      </c>
      <c r="B349" s="59" t="s">
        <v>161</v>
      </c>
      <c r="C349" s="59" t="s">
        <v>11723</v>
      </c>
      <c r="D349" s="59" t="s">
        <v>14377</v>
      </c>
      <c r="E349" s="59" t="s">
        <v>10961</v>
      </c>
      <c r="F349" s="59" t="s">
        <v>11094</v>
      </c>
      <c r="G349" s="5"/>
      <c r="H349" s="5"/>
      <c r="I349" s="5"/>
      <c r="J349" s="5"/>
    </row>
    <row r="350" spans="1:10" ht="14.1" customHeight="1" thickBot="1" x14ac:dyDescent="0.25">
      <c r="A350" s="61" t="s">
        <v>18851</v>
      </c>
      <c r="B350" s="61" t="s">
        <v>18852</v>
      </c>
      <c r="C350" s="61" t="s">
        <v>6798</v>
      </c>
      <c r="D350" s="61" t="s">
        <v>10170</v>
      </c>
      <c r="E350" s="61" t="s">
        <v>8854</v>
      </c>
      <c r="F350" s="61"/>
      <c r="G350" s="5"/>
      <c r="H350" s="5"/>
      <c r="I350" s="5"/>
      <c r="J350" s="5"/>
    </row>
    <row r="351" spans="1:10" ht="14.1" customHeight="1" thickBot="1" x14ac:dyDescent="0.25">
      <c r="A351" s="82" t="s">
        <v>14828</v>
      </c>
      <c r="B351" s="62" t="s">
        <v>8528</v>
      </c>
      <c r="C351" s="71">
        <v>44197</v>
      </c>
      <c r="D351" s="82" t="s">
        <v>9385</v>
      </c>
      <c r="E351" s="62" t="s">
        <v>13092</v>
      </c>
      <c r="F351" s="61" t="s">
        <v>3080</v>
      </c>
      <c r="G351" s="5"/>
      <c r="H351" s="5"/>
      <c r="I351" s="5"/>
      <c r="J351" s="5"/>
    </row>
    <row r="352" spans="1:10" ht="14.1" customHeight="1" thickBot="1" x14ac:dyDescent="0.25">
      <c r="A352" s="83"/>
      <c r="B352" s="62" t="s">
        <v>1786</v>
      </c>
      <c r="C352" s="60">
        <f>IF(C351="","",IF(AND(MONTH(C351)&gt;=1,MONTH(C351)&lt;=3),1,IF(AND(MONTH(C351)&gt;=4,MONTH(C351)&lt;=6),2,IF(AND(MONTH(C351)&gt;=7,MONTH(C351)&lt;=9),3,4))))</f>
        <v>1</v>
      </c>
      <c r="D352" s="83"/>
      <c r="E352" s="62" t="s">
        <v>2417</v>
      </c>
      <c r="F352" s="61" t="s">
        <v>11111</v>
      </c>
      <c r="G352" s="5"/>
      <c r="H352" s="5"/>
      <c r="I352" s="5"/>
      <c r="J352" s="5"/>
    </row>
    <row r="353" spans="1:10" ht="14.1" customHeight="1" thickBot="1" x14ac:dyDescent="0.25">
      <c r="A353" s="83"/>
      <c r="B353" s="62" t="s">
        <v>12941</v>
      </c>
      <c r="C353" s="71">
        <v>44211</v>
      </c>
      <c r="D353" s="83"/>
      <c r="E353" s="62" t="s">
        <v>3073</v>
      </c>
      <c r="F353" s="61" t="s">
        <v>11111</v>
      </c>
      <c r="G353" s="5"/>
      <c r="H353" s="5"/>
      <c r="I353" s="5"/>
      <c r="J353" s="5"/>
    </row>
    <row r="354" spans="1:10" ht="14.1" customHeight="1" thickBot="1" x14ac:dyDescent="0.25">
      <c r="A354" s="83"/>
      <c r="B354" s="62" t="s">
        <v>1786</v>
      </c>
      <c r="C354" s="60">
        <f>IF(C353="","",IF(AND(MONTH(C353)&gt;=1,MONTH(C353)&lt;=3),1,IF(AND(MONTH(C353)&gt;=4,MONTH(C353)&lt;=6),2,IF(AND(MONTH(C353)&gt;=7,MONTH(C353)&lt;=9),3,4))))</f>
        <v>1</v>
      </c>
      <c r="D354" s="83"/>
      <c r="E354" s="62" t="s">
        <v>13191</v>
      </c>
      <c r="F354" s="61" t="s">
        <v>11111</v>
      </c>
      <c r="G354" s="5"/>
      <c r="H354" s="5"/>
      <c r="I354" s="5"/>
      <c r="J354" s="5"/>
    </row>
    <row r="355" spans="1:10" ht="14.1" customHeight="1" thickBot="1" x14ac:dyDescent="0.25">
      <c r="A355" s="5"/>
      <c r="B355" s="5"/>
      <c r="C355" s="5"/>
      <c r="D355" s="5"/>
      <c r="E355" s="5"/>
      <c r="F355" s="5"/>
      <c r="G355" s="5"/>
      <c r="H355" s="5"/>
      <c r="I355" s="5"/>
      <c r="J355" s="5"/>
    </row>
    <row r="356" spans="1:10" ht="14.1" customHeight="1" thickBot="1" x14ac:dyDescent="0.25">
      <c r="A356" s="67" t="s">
        <v>15735</v>
      </c>
      <c r="B356" s="67" t="s">
        <v>16146</v>
      </c>
      <c r="C356" s="67" t="s">
        <v>15641</v>
      </c>
      <c r="D356" s="67" t="s">
        <v>15251</v>
      </c>
      <c r="E356" s="67" t="s">
        <v>6932</v>
      </c>
      <c r="F356" s="67" t="s">
        <v>15280</v>
      </c>
      <c r="G356" s="5"/>
      <c r="H356" s="5"/>
      <c r="I356" s="5"/>
      <c r="J356" s="5"/>
    </row>
    <row r="357" spans="1:10" ht="27" customHeight="1" x14ac:dyDescent="0.2">
      <c r="A357" s="63">
        <v>78180103</v>
      </c>
      <c r="B357" s="64" t="str">
        <f ca="1">IFERROR(INDEX(UNSPSCDes,MATCH(INDIRECT(ADDRESS(ROW(),COLUMN()-1,4)),UNSPSCCode,0)),"")</f>
        <v>Servicios de cambio de fluidos de aceite o de la transmisión</v>
      </c>
      <c r="C357" s="63" t="s">
        <v>1449</v>
      </c>
      <c r="D357" s="63">
        <v>1</v>
      </c>
      <c r="E357" s="66">
        <v>75000</v>
      </c>
      <c r="F357" s="65">
        <f ca="1">INDIRECT(ADDRESS(ROW(),COLUMN()-2,4))*INDIRECT(ADDRESS(ROW(),COLUMN()-1,4))</f>
        <v>75000</v>
      </c>
      <c r="G357" s="5"/>
      <c r="H357" s="5"/>
      <c r="I357" s="5"/>
      <c r="J357" s="5"/>
    </row>
    <row r="358" spans="1:10" ht="14.1" customHeight="1" x14ac:dyDescent="0.2">
      <c r="A358" s="5"/>
      <c r="B358" s="5"/>
      <c r="C358" s="5"/>
      <c r="D358" s="5"/>
      <c r="E358" s="68" t="s">
        <v>12549</v>
      </c>
      <c r="F358" s="69">
        <f ca="1">SUM(Table334[MONTO TOTAL ESTIMADO])</f>
        <v>75000</v>
      </c>
      <c r="G358" s="5"/>
      <c r="H358" s="5" t="str">
        <f>C350</f>
        <v>Servicios</v>
      </c>
      <c r="I358" s="5" t="str">
        <f>E350</f>
        <v>Sí</v>
      </c>
      <c r="J358" s="5" t="str">
        <f>D350</f>
        <v>Compras por debajo del Umbral</v>
      </c>
    </row>
    <row r="359" spans="1:10" ht="14.1" customHeight="1" thickBot="1" x14ac:dyDescent="0.3"/>
    <row r="360" spans="1:10" ht="33.75" customHeight="1" thickBot="1" x14ac:dyDescent="0.25">
      <c r="A360" s="59" t="s">
        <v>16382</v>
      </c>
      <c r="B360" s="59" t="s">
        <v>161</v>
      </c>
      <c r="C360" s="59" t="s">
        <v>11723</v>
      </c>
      <c r="D360" s="59" t="s">
        <v>14377</v>
      </c>
      <c r="E360" s="59" t="s">
        <v>10961</v>
      </c>
      <c r="F360" s="59" t="s">
        <v>11094</v>
      </c>
      <c r="G360" s="5"/>
      <c r="H360" s="5"/>
      <c r="I360" s="5"/>
      <c r="J360" s="5"/>
    </row>
    <row r="361" spans="1:10" ht="14.1" customHeight="1" thickBot="1" x14ac:dyDescent="0.25">
      <c r="A361" s="61" t="s">
        <v>18851</v>
      </c>
      <c r="B361" s="61" t="s">
        <v>18852</v>
      </c>
      <c r="C361" s="61" t="s">
        <v>6798</v>
      </c>
      <c r="D361" s="61" t="s">
        <v>10170</v>
      </c>
      <c r="E361" s="61" t="s">
        <v>8854</v>
      </c>
      <c r="F361" s="61"/>
      <c r="G361" s="5"/>
      <c r="H361" s="5"/>
      <c r="I361" s="5"/>
      <c r="J361" s="5"/>
    </row>
    <row r="362" spans="1:10" ht="14.1" customHeight="1" thickBot="1" x14ac:dyDescent="0.25">
      <c r="A362" s="82" t="s">
        <v>14828</v>
      </c>
      <c r="B362" s="62" t="s">
        <v>8528</v>
      </c>
      <c r="C362" s="71">
        <v>44287</v>
      </c>
      <c r="D362" s="82" t="s">
        <v>9385</v>
      </c>
      <c r="E362" s="62" t="s">
        <v>13092</v>
      </c>
      <c r="F362" s="61" t="s">
        <v>3080</v>
      </c>
      <c r="G362" s="5"/>
      <c r="H362" s="5"/>
      <c r="I362" s="5"/>
      <c r="J362" s="5"/>
    </row>
    <row r="363" spans="1:10" ht="14.1" customHeight="1" thickBot="1" x14ac:dyDescent="0.25">
      <c r="A363" s="83"/>
      <c r="B363" s="62" t="s">
        <v>1786</v>
      </c>
      <c r="C363" s="60">
        <f>IF(C362="","",IF(AND(MONTH(C362)&gt;=1,MONTH(C362)&lt;=3),1,IF(AND(MONTH(C362)&gt;=4,MONTH(C362)&lt;=6),2,IF(AND(MONTH(C362)&gt;=7,MONTH(C362)&lt;=9),3,4))))</f>
        <v>2</v>
      </c>
      <c r="D363" s="83"/>
      <c r="E363" s="62" t="s">
        <v>2417</v>
      </c>
      <c r="F363" s="61" t="s">
        <v>11111</v>
      </c>
      <c r="G363" s="5"/>
      <c r="H363" s="5"/>
      <c r="I363" s="5"/>
      <c r="J363" s="5"/>
    </row>
    <row r="364" spans="1:10" ht="14.1" customHeight="1" thickBot="1" x14ac:dyDescent="0.25">
      <c r="A364" s="83"/>
      <c r="B364" s="62" t="s">
        <v>12941</v>
      </c>
      <c r="C364" s="71">
        <v>44301</v>
      </c>
      <c r="D364" s="83"/>
      <c r="E364" s="62" t="s">
        <v>3073</v>
      </c>
      <c r="F364" s="61" t="s">
        <v>11111</v>
      </c>
      <c r="G364" s="5"/>
      <c r="H364" s="5"/>
      <c r="I364" s="5"/>
      <c r="J364" s="5"/>
    </row>
    <row r="365" spans="1:10" ht="14.1" customHeight="1" thickBot="1" x14ac:dyDescent="0.25">
      <c r="A365" s="83"/>
      <c r="B365" s="62" t="s">
        <v>1786</v>
      </c>
      <c r="C365" s="60">
        <f>IF(C364="","",IF(AND(MONTH(C364)&gt;=1,MONTH(C364)&lt;=3),1,IF(AND(MONTH(C364)&gt;=4,MONTH(C364)&lt;=6),2,IF(AND(MONTH(C364)&gt;=7,MONTH(C364)&lt;=9),3,4))))</f>
        <v>2</v>
      </c>
      <c r="D365" s="83"/>
      <c r="E365" s="62" t="s">
        <v>13191</v>
      </c>
      <c r="F365" s="61" t="s">
        <v>11111</v>
      </c>
      <c r="G365" s="5"/>
      <c r="H365" s="5"/>
      <c r="I365" s="5"/>
      <c r="J365" s="5"/>
    </row>
    <row r="366" spans="1:10" ht="14.1" customHeight="1" thickBot="1" x14ac:dyDescent="0.25">
      <c r="A366" s="5"/>
      <c r="B366" s="5"/>
      <c r="C366" s="5"/>
      <c r="D366" s="5"/>
      <c r="E366" s="5"/>
      <c r="F366" s="5"/>
      <c r="G366" s="5"/>
      <c r="H366" s="5"/>
      <c r="I366" s="5"/>
      <c r="J366" s="5"/>
    </row>
    <row r="367" spans="1:10" ht="14.1" customHeight="1" thickBot="1" x14ac:dyDescent="0.25">
      <c r="A367" s="67" t="s">
        <v>15735</v>
      </c>
      <c r="B367" s="67" t="s">
        <v>16146</v>
      </c>
      <c r="C367" s="67" t="s">
        <v>15641</v>
      </c>
      <c r="D367" s="67" t="s">
        <v>15251</v>
      </c>
      <c r="E367" s="67" t="s">
        <v>6932</v>
      </c>
      <c r="F367" s="67" t="s">
        <v>15280</v>
      </c>
      <c r="G367" s="5"/>
      <c r="H367" s="5"/>
      <c r="I367" s="5"/>
      <c r="J367" s="5"/>
    </row>
    <row r="368" spans="1:10" ht="27" customHeight="1" x14ac:dyDescent="0.2">
      <c r="A368" s="63">
        <v>78180103</v>
      </c>
      <c r="B368" s="64" t="str">
        <f ca="1">IFERROR(INDEX(UNSPSCDes,MATCH(INDIRECT(ADDRESS(ROW(),COLUMN()-1,4)),UNSPSCCode,0)),"")</f>
        <v>Servicios de cambio de fluidos de aceite o de la transmisión</v>
      </c>
      <c r="C368" s="63" t="s">
        <v>1449</v>
      </c>
      <c r="D368" s="63">
        <v>1</v>
      </c>
      <c r="E368" s="66">
        <v>75000</v>
      </c>
      <c r="F368" s="65">
        <f ca="1">INDIRECT(ADDRESS(ROW(),COLUMN()-2,4))*INDIRECT(ADDRESS(ROW(),COLUMN()-1,4))</f>
        <v>75000</v>
      </c>
      <c r="G368" s="5"/>
      <c r="H368" s="5"/>
      <c r="I368" s="5"/>
      <c r="J368" s="5"/>
    </row>
    <row r="369" spans="1:10" ht="14.1" customHeight="1" x14ac:dyDescent="0.2">
      <c r="A369" s="5"/>
      <c r="B369" s="5"/>
      <c r="C369" s="5"/>
      <c r="D369" s="5"/>
      <c r="E369" s="68" t="s">
        <v>12549</v>
      </c>
      <c r="F369" s="69">
        <f ca="1">SUM(Table335[MONTO TOTAL ESTIMADO])</f>
        <v>75000</v>
      </c>
      <c r="G369" s="5"/>
      <c r="H369" s="5" t="str">
        <f>C361</f>
        <v>Servicios</v>
      </c>
      <c r="I369" s="5" t="str">
        <f>E361</f>
        <v>Sí</v>
      </c>
      <c r="J369" s="5" t="str">
        <f>D361</f>
        <v>Compras por debajo del Umbral</v>
      </c>
    </row>
    <row r="370" spans="1:10" ht="14.1" customHeight="1" thickBot="1" x14ac:dyDescent="0.3"/>
    <row r="371" spans="1:10" ht="33.75" customHeight="1" thickBot="1" x14ac:dyDescent="0.25">
      <c r="A371" s="59" t="s">
        <v>16382</v>
      </c>
      <c r="B371" s="59" t="s">
        <v>161</v>
      </c>
      <c r="C371" s="59" t="s">
        <v>11723</v>
      </c>
      <c r="D371" s="59" t="s">
        <v>14377</v>
      </c>
      <c r="E371" s="59" t="s">
        <v>10961</v>
      </c>
      <c r="F371" s="59" t="s">
        <v>11094</v>
      </c>
      <c r="G371" s="5"/>
      <c r="H371" s="5"/>
      <c r="I371" s="5"/>
      <c r="J371" s="5"/>
    </row>
    <row r="372" spans="1:10" ht="14.1" customHeight="1" thickBot="1" x14ac:dyDescent="0.25">
      <c r="A372" s="61" t="s">
        <v>18851</v>
      </c>
      <c r="B372" s="61" t="s">
        <v>18852</v>
      </c>
      <c r="C372" s="61" t="s">
        <v>6798</v>
      </c>
      <c r="D372" s="61" t="s">
        <v>10170</v>
      </c>
      <c r="E372" s="61" t="s">
        <v>8854</v>
      </c>
      <c r="F372" s="61"/>
      <c r="G372" s="5"/>
      <c r="H372" s="5"/>
      <c r="I372" s="5"/>
      <c r="J372" s="5"/>
    </row>
    <row r="373" spans="1:10" ht="14.1" customHeight="1" thickBot="1" x14ac:dyDescent="0.25">
      <c r="A373" s="82" t="s">
        <v>14828</v>
      </c>
      <c r="B373" s="62" t="s">
        <v>8528</v>
      </c>
      <c r="C373" s="71">
        <v>44378</v>
      </c>
      <c r="D373" s="82" t="s">
        <v>9385</v>
      </c>
      <c r="E373" s="62" t="s">
        <v>13092</v>
      </c>
      <c r="F373" s="61" t="s">
        <v>3080</v>
      </c>
      <c r="G373" s="5"/>
      <c r="H373" s="5"/>
      <c r="I373" s="5"/>
      <c r="J373" s="5"/>
    </row>
    <row r="374" spans="1:10" ht="14.1" customHeight="1" thickBot="1" x14ac:dyDescent="0.25">
      <c r="A374" s="83"/>
      <c r="B374" s="62" t="s">
        <v>1786</v>
      </c>
      <c r="C374" s="60">
        <f>IF(C373="","",IF(AND(MONTH(C373)&gt;=1,MONTH(C373)&lt;=3),1,IF(AND(MONTH(C373)&gt;=4,MONTH(C373)&lt;=6),2,IF(AND(MONTH(C373)&gt;=7,MONTH(C373)&lt;=9),3,4))))</f>
        <v>3</v>
      </c>
      <c r="D374" s="83"/>
      <c r="E374" s="62" t="s">
        <v>2417</v>
      </c>
      <c r="F374" s="61" t="s">
        <v>11111</v>
      </c>
      <c r="G374" s="5"/>
      <c r="H374" s="5"/>
      <c r="I374" s="5"/>
      <c r="J374" s="5"/>
    </row>
    <row r="375" spans="1:10" ht="14.1" customHeight="1" thickBot="1" x14ac:dyDescent="0.25">
      <c r="A375" s="83"/>
      <c r="B375" s="62" t="s">
        <v>12941</v>
      </c>
      <c r="C375" s="71">
        <v>44392</v>
      </c>
      <c r="D375" s="83"/>
      <c r="E375" s="62" t="s">
        <v>3073</v>
      </c>
      <c r="F375" s="61" t="s">
        <v>11111</v>
      </c>
      <c r="G375" s="5"/>
      <c r="H375" s="5"/>
      <c r="I375" s="5"/>
      <c r="J375" s="5"/>
    </row>
    <row r="376" spans="1:10" ht="14.1" customHeight="1" thickBot="1" x14ac:dyDescent="0.25">
      <c r="A376" s="83"/>
      <c r="B376" s="62" t="s">
        <v>1786</v>
      </c>
      <c r="C376" s="60">
        <f>IF(C375="","",IF(AND(MONTH(C375)&gt;=1,MONTH(C375)&lt;=3),1,IF(AND(MONTH(C375)&gt;=4,MONTH(C375)&lt;=6),2,IF(AND(MONTH(C375)&gt;=7,MONTH(C375)&lt;=9),3,4))))</f>
        <v>3</v>
      </c>
      <c r="D376" s="83"/>
      <c r="E376" s="62" t="s">
        <v>13191</v>
      </c>
      <c r="F376" s="61" t="s">
        <v>11111</v>
      </c>
      <c r="G376" s="5"/>
      <c r="H376" s="5"/>
      <c r="I376" s="5"/>
      <c r="J376" s="5"/>
    </row>
    <row r="377" spans="1:10" ht="14.1" customHeight="1" thickBot="1" x14ac:dyDescent="0.25">
      <c r="A377" s="5"/>
      <c r="B377" s="5"/>
      <c r="C377" s="5"/>
      <c r="D377" s="5"/>
      <c r="E377" s="5"/>
      <c r="F377" s="5"/>
      <c r="G377" s="5"/>
      <c r="H377" s="5"/>
      <c r="I377" s="5"/>
      <c r="J377" s="5"/>
    </row>
    <row r="378" spans="1:10" ht="14.1" customHeight="1" thickBot="1" x14ac:dyDescent="0.25">
      <c r="A378" s="67" t="s">
        <v>15735</v>
      </c>
      <c r="B378" s="67" t="s">
        <v>16146</v>
      </c>
      <c r="C378" s="67" t="s">
        <v>15641</v>
      </c>
      <c r="D378" s="67" t="s">
        <v>15251</v>
      </c>
      <c r="E378" s="67" t="s">
        <v>6932</v>
      </c>
      <c r="F378" s="67" t="s">
        <v>15280</v>
      </c>
      <c r="G378" s="5"/>
      <c r="H378" s="5"/>
      <c r="I378" s="5"/>
      <c r="J378" s="5"/>
    </row>
    <row r="379" spans="1:10" ht="27" customHeight="1" x14ac:dyDescent="0.2">
      <c r="A379" s="63">
        <v>78180103</v>
      </c>
      <c r="B379" s="64" t="str">
        <f ca="1">IFERROR(INDEX(UNSPSCDes,MATCH(INDIRECT(ADDRESS(ROW(),COLUMN()-1,4)),UNSPSCCode,0)),"")</f>
        <v>Servicios de cambio de fluidos de aceite o de la transmisión</v>
      </c>
      <c r="C379" s="63" t="s">
        <v>1449</v>
      </c>
      <c r="D379" s="63">
        <v>1</v>
      </c>
      <c r="E379" s="66">
        <v>75000</v>
      </c>
      <c r="F379" s="65">
        <f ca="1">INDIRECT(ADDRESS(ROW(),COLUMN()-2,4))*INDIRECT(ADDRESS(ROW(),COLUMN()-1,4))</f>
        <v>75000</v>
      </c>
      <c r="G379" s="5"/>
      <c r="H379" s="5"/>
      <c r="I379" s="5"/>
      <c r="J379" s="5"/>
    </row>
    <row r="380" spans="1:10" ht="14.1" customHeight="1" x14ac:dyDescent="0.2">
      <c r="A380" s="5"/>
      <c r="B380" s="5"/>
      <c r="C380" s="5"/>
      <c r="D380" s="5"/>
      <c r="E380" s="68" t="s">
        <v>12549</v>
      </c>
      <c r="F380" s="69">
        <f ca="1">SUM(Table336[MONTO TOTAL ESTIMADO])</f>
        <v>75000</v>
      </c>
      <c r="G380" s="5"/>
      <c r="H380" s="5" t="str">
        <f>C372</f>
        <v>Servicios</v>
      </c>
      <c r="I380" s="5" t="str">
        <f>E372</f>
        <v>Sí</v>
      </c>
      <c r="J380" s="5" t="str">
        <f>D372</f>
        <v>Compras por debajo del Umbral</v>
      </c>
    </row>
    <row r="381" spans="1:10" ht="14.1" customHeight="1" thickBot="1" x14ac:dyDescent="0.3"/>
    <row r="382" spans="1:10" ht="33.75" customHeight="1" thickBot="1" x14ac:dyDescent="0.25">
      <c r="A382" s="59" t="s">
        <v>16382</v>
      </c>
      <c r="B382" s="59" t="s">
        <v>161</v>
      </c>
      <c r="C382" s="59" t="s">
        <v>11723</v>
      </c>
      <c r="D382" s="59" t="s">
        <v>14377</v>
      </c>
      <c r="E382" s="59" t="s">
        <v>10961</v>
      </c>
      <c r="F382" s="59" t="s">
        <v>11094</v>
      </c>
      <c r="G382" s="5"/>
      <c r="H382" s="5"/>
      <c r="I382" s="5"/>
      <c r="J382" s="5"/>
    </row>
    <row r="383" spans="1:10" ht="14.1" customHeight="1" thickBot="1" x14ac:dyDescent="0.25">
      <c r="A383" s="61" t="s">
        <v>18851</v>
      </c>
      <c r="B383" s="61" t="s">
        <v>18852</v>
      </c>
      <c r="C383" s="61" t="s">
        <v>6798</v>
      </c>
      <c r="D383" s="61" t="s">
        <v>10170</v>
      </c>
      <c r="E383" s="61" t="s">
        <v>8854</v>
      </c>
      <c r="F383" s="61"/>
      <c r="G383" s="5"/>
      <c r="H383" s="5"/>
      <c r="I383" s="5"/>
      <c r="J383" s="5"/>
    </row>
    <row r="384" spans="1:10" ht="14.1" customHeight="1" thickBot="1" x14ac:dyDescent="0.25">
      <c r="A384" s="82" t="s">
        <v>14828</v>
      </c>
      <c r="B384" s="62" t="s">
        <v>8528</v>
      </c>
      <c r="C384" s="71">
        <v>44470</v>
      </c>
      <c r="D384" s="82" t="s">
        <v>9385</v>
      </c>
      <c r="E384" s="62" t="s">
        <v>13092</v>
      </c>
      <c r="F384" s="61" t="s">
        <v>3080</v>
      </c>
      <c r="G384" s="5"/>
      <c r="H384" s="5"/>
      <c r="I384" s="5"/>
      <c r="J384" s="5"/>
    </row>
    <row r="385" spans="1:10" ht="14.1" customHeight="1" thickBot="1" x14ac:dyDescent="0.25">
      <c r="A385" s="83"/>
      <c r="B385" s="62" t="s">
        <v>1786</v>
      </c>
      <c r="C385" s="60">
        <f>IF(C384="","",IF(AND(MONTH(C384)&gt;=1,MONTH(C384)&lt;=3),1,IF(AND(MONTH(C384)&gt;=4,MONTH(C384)&lt;=6),2,IF(AND(MONTH(C384)&gt;=7,MONTH(C384)&lt;=9),3,4))))</f>
        <v>4</v>
      </c>
      <c r="D385" s="83"/>
      <c r="E385" s="62" t="s">
        <v>2417</v>
      </c>
      <c r="F385" s="61" t="s">
        <v>11111</v>
      </c>
      <c r="G385" s="5"/>
      <c r="H385" s="5"/>
      <c r="I385" s="5"/>
      <c r="J385" s="5"/>
    </row>
    <row r="386" spans="1:10" ht="14.1" customHeight="1" thickBot="1" x14ac:dyDescent="0.25">
      <c r="A386" s="83"/>
      <c r="B386" s="62" t="s">
        <v>12941</v>
      </c>
      <c r="C386" s="71">
        <v>44484</v>
      </c>
      <c r="D386" s="83"/>
      <c r="E386" s="62" t="s">
        <v>3073</v>
      </c>
      <c r="F386" s="61" t="s">
        <v>11111</v>
      </c>
      <c r="G386" s="5"/>
      <c r="H386" s="5"/>
      <c r="I386" s="5"/>
      <c r="J386" s="5"/>
    </row>
    <row r="387" spans="1:10" ht="14.1" customHeight="1" thickBot="1" x14ac:dyDescent="0.25">
      <c r="A387" s="83"/>
      <c r="B387" s="62" t="s">
        <v>1786</v>
      </c>
      <c r="C387" s="60">
        <f>IF(C386="","",IF(AND(MONTH(C386)&gt;=1,MONTH(C386)&lt;=3),1,IF(AND(MONTH(C386)&gt;=4,MONTH(C386)&lt;=6),2,IF(AND(MONTH(C386)&gt;=7,MONTH(C386)&lt;=9),3,4))))</f>
        <v>4</v>
      </c>
      <c r="D387" s="83"/>
      <c r="E387" s="62" t="s">
        <v>13191</v>
      </c>
      <c r="F387" s="61" t="s">
        <v>11111</v>
      </c>
      <c r="G387" s="5"/>
      <c r="H387" s="5"/>
      <c r="I387" s="5"/>
      <c r="J387" s="5"/>
    </row>
    <row r="388" spans="1:10" ht="14.1" customHeight="1" thickBot="1" x14ac:dyDescent="0.25">
      <c r="A388" s="5"/>
      <c r="B388" s="5"/>
      <c r="C388" s="5"/>
      <c r="D388" s="5"/>
      <c r="E388" s="5"/>
      <c r="F388" s="5"/>
      <c r="G388" s="5"/>
      <c r="H388" s="5"/>
      <c r="I388" s="5"/>
      <c r="J388" s="5"/>
    </row>
    <row r="389" spans="1:10" ht="14.1" customHeight="1" thickBot="1" x14ac:dyDescent="0.25">
      <c r="A389" s="67" t="s">
        <v>15735</v>
      </c>
      <c r="B389" s="67" t="s">
        <v>16146</v>
      </c>
      <c r="C389" s="67" t="s">
        <v>15641</v>
      </c>
      <c r="D389" s="67" t="s">
        <v>15251</v>
      </c>
      <c r="E389" s="67" t="s">
        <v>6932</v>
      </c>
      <c r="F389" s="67" t="s">
        <v>15280</v>
      </c>
      <c r="G389" s="5"/>
      <c r="H389" s="5"/>
      <c r="I389" s="5"/>
      <c r="J389" s="5"/>
    </row>
    <row r="390" spans="1:10" ht="27" customHeight="1" x14ac:dyDescent="0.2">
      <c r="A390" s="63">
        <v>78180103</v>
      </c>
      <c r="B390" s="64" t="str">
        <f ca="1">IFERROR(INDEX(UNSPSCDes,MATCH(INDIRECT(ADDRESS(ROW(),COLUMN()-1,4)),UNSPSCCode,0)),"")</f>
        <v>Servicios de cambio de fluidos de aceite o de la transmisión</v>
      </c>
      <c r="C390" s="63" t="s">
        <v>1449</v>
      </c>
      <c r="D390" s="63">
        <v>1</v>
      </c>
      <c r="E390" s="66">
        <v>75000</v>
      </c>
      <c r="F390" s="65">
        <f ca="1">INDIRECT(ADDRESS(ROW(),COLUMN()-2,4))*INDIRECT(ADDRESS(ROW(),COLUMN()-1,4))</f>
        <v>75000</v>
      </c>
      <c r="G390" s="5"/>
      <c r="H390" s="5"/>
      <c r="I390" s="5"/>
      <c r="J390" s="5"/>
    </row>
    <row r="391" spans="1:10" ht="14.1" customHeight="1" x14ac:dyDescent="0.2">
      <c r="A391" s="5"/>
      <c r="B391" s="5"/>
      <c r="C391" s="5"/>
      <c r="D391" s="5"/>
      <c r="E391" s="68" t="s">
        <v>12549</v>
      </c>
      <c r="F391" s="69">
        <f ca="1">SUM(Table337[MONTO TOTAL ESTIMADO])</f>
        <v>75000</v>
      </c>
      <c r="G391" s="5"/>
      <c r="H391" s="5" t="str">
        <f>C383</f>
        <v>Servicios</v>
      </c>
      <c r="I391" s="5" t="str">
        <f>E383</f>
        <v>Sí</v>
      </c>
      <c r="J391" s="5" t="str">
        <f>D383</f>
        <v>Compras por debajo del Umbral</v>
      </c>
    </row>
    <row r="392" spans="1:10" ht="14.1" customHeight="1" thickBot="1" x14ac:dyDescent="0.3"/>
    <row r="393" spans="1:10" ht="33.75" customHeight="1" thickBot="1" x14ac:dyDescent="0.25">
      <c r="A393" s="59" t="s">
        <v>16382</v>
      </c>
      <c r="B393" s="59" t="s">
        <v>161</v>
      </c>
      <c r="C393" s="59" t="s">
        <v>11723</v>
      </c>
      <c r="D393" s="59" t="s">
        <v>14377</v>
      </c>
      <c r="E393" s="59" t="s">
        <v>10961</v>
      </c>
      <c r="F393" s="59" t="s">
        <v>11094</v>
      </c>
      <c r="G393" s="5"/>
      <c r="H393" s="5"/>
      <c r="I393" s="5"/>
      <c r="J393" s="5"/>
    </row>
    <row r="394" spans="1:10" ht="14.1" customHeight="1" thickBot="1" x14ac:dyDescent="0.25">
      <c r="A394" s="61" t="s">
        <v>18853</v>
      </c>
      <c r="B394" s="61" t="s">
        <v>18854</v>
      </c>
      <c r="C394" s="61" t="s">
        <v>6798</v>
      </c>
      <c r="D394" s="61" t="s">
        <v>10170</v>
      </c>
      <c r="E394" s="61" t="s">
        <v>8854</v>
      </c>
      <c r="F394" s="61"/>
      <c r="G394" s="5"/>
      <c r="H394" s="5"/>
      <c r="I394" s="5"/>
      <c r="J394" s="5"/>
    </row>
    <row r="395" spans="1:10" ht="14.1" customHeight="1" thickBot="1" x14ac:dyDescent="0.25">
      <c r="A395" s="82" t="s">
        <v>14828</v>
      </c>
      <c r="B395" s="62" t="s">
        <v>8528</v>
      </c>
      <c r="C395" s="71">
        <v>44197</v>
      </c>
      <c r="D395" s="82" t="s">
        <v>9385</v>
      </c>
      <c r="E395" s="62" t="s">
        <v>13092</v>
      </c>
      <c r="F395" s="61" t="s">
        <v>3080</v>
      </c>
      <c r="G395" s="5"/>
      <c r="H395" s="5"/>
      <c r="I395" s="5"/>
      <c r="J395" s="5"/>
    </row>
    <row r="396" spans="1:10" ht="14.1" customHeight="1" thickBot="1" x14ac:dyDescent="0.25">
      <c r="A396" s="83"/>
      <c r="B396" s="62" t="s">
        <v>1786</v>
      </c>
      <c r="C396" s="60">
        <f>IF(C395="","",IF(AND(MONTH(C395)&gt;=1,MONTH(C395)&lt;=3),1,IF(AND(MONTH(C395)&gt;=4,MONTH(C395)&lt;=6),2,IF(AND(MONTH(C395)&gt;=7,MONTH(C395)&lt;=9),3,4))))</f>
        <v>1</v>
      </c>
      <c r="D396" s="83"/>
      <c r="E396" s="62" t="s">
        <v>2417</v>
      </c>
      <c r="F396" s="61" t="s">
        <v>11111</v>
      </c>
      <c r="G396" s="5"/>
      <c r="H396" s="5"/>
      <c r="I396" s="5"/>
      <c r="J396" s="5"/>
    </row>
    <row r="397" spans="1:10" ht="14.1" customHeight="1" thickBot="1" x14ac:dyDescent="0.25">
      <c r="A397" s="83"/>
      <c r="B397" s="62" t="s">
        <v>12941</v>
      </c>
      <c r="C397" s="71">
        <v>44198</v>
      </c>
      <c r="D397" s="83"/>
      <c r="E397" s="62" t="s">
        <v>3073</v>
      </c>
      <c r="F397" s="61" t="s">
        <v>11111</v>
      </c>
      <c r="G397" s="5"/>
      <c r="H397" s="5"/>
      <c r="I397" s="5"/>
      <c r="J397" s="5"/>
    </row>
    <row r="398" spans="1:10" ht="14.1" customHeight="1" thickBot="1" x14ac:dyDescent="0.25">
      <c r="A398" s="83"/>
      <c r="B398" s="62" t="s">
        <v>1786</v>
      </c>
      <c r="C398" s="60">
        <f>IF(C397="","",IF(AND(MONTH(C397)&gt;=1,MONTH(C397)&lt;=3),1,IF(AND(MONTH(C397)&gt;=4,MONTH(C397)&lt;=6),2,IF(AND(MONTH(C397)&gt;=7,MONTH(C397)&lt;=9),3,4))))</f>
        <v>1</v>
      </c>
      <c r="D398" s="83"/>
      <c r="E398" s="62" t="s">
        <v>13191</v>
      </c>
      <c r="F398" s="61" t="s">
        <v>11111</v>
      </c>
      <c r="G398" s="5"/>
      <c r="H398" s="5"/>
      <c r="I398" s="5"/>
      <c r="J398" s="5"/>
    </row>
    <row r="399" spans="1:10" ht="14.1" customHeight="1" thickBot="1" x14ac:dyDescent="0.25">
      <c r="A399" s="5"/>
      <c r="B399" s="5"/>
      <c r="C399" s="5"/>
      <c r="D399" s="5"/>
      <c r="E399" s="5"/>
      <c r="F399" s="5"/>
      <c r="G399" s="5"/>
      <c r="H399" s="5"/>
      <c r="I399" s="5"/>
      <c r="J399" s="5"/>
    </row>
    <row r="400" spans="1:10" ht="14.1" customHeight="1" thickBot="1" x14ac:dyDescent="0.25">
      <c r="A400" s="67" t="s">
        <v>15735</v>
      </c>
      <c r="B400" s="67" t="s">
        <v>16146</v>
      </c>
      <c r="C400" s="67" t="s">
        <v>15641</v>
      </c>
      <c r="D400" s="67" t="s">
        <v>15251</v>
      </c>
      <c r="E400" s="67" t="s">
        <v>6932</v>
      </c>
      <c r="F400" s="67" t="s">
        <v>15280</v>
      </c>
      <c r="G400" s="5"/>
      <c r="H400" s="5"/>
      <c r="I400" s="5"/>
      <c r="J400" s="5"/>
    </row>
    <row r="401" spans="1:10" ht="27" customHeight="1" x14ac:dyDescent="0.2">
      <c r="A401" s="63">
        <v>72102305</v>
      </c>
      <c r="B401" s="64" t="str">
        <f ca="1">IFERROR(INDEX(UNSPSCDes,MATCH(INDIRECT(ADDRESS(ROW(),COLUMN()-1,4)),UNSPSCCode,0)),"")</f>
        <v>Servicios de reparación, mantenimiento o reparación de aire acondicionado</v>
      </c>
      <c r="C401" s="63" t="s">
        <v>1449</v>
      </c>
      <c r="D401" s="63">
        <v>1</v>
      </c>
      <c r="E401" s="66">
        <v>37500</v>
      </c>
      <c r="F401" s="65">
        <f ca="1">INDIRECT(ADDRESS(ROW(),COLUMN()-2,4))*INDIRECT(ADDRESS(ROW(),COLUMN()-1,4))</f>
        <v>37500</v>
      </c>
      <c r="G401" s="5"/>
      <c r="H401" s="5"/>
      <c r="I401" s="5"/>
      <c r="J401" s="5"/>
    </row>
    <row r="402" spans="1:10" ht="14.1" customHeight="1" x14ac:dyDescent="0.2">
      <c r="A402" s="5"/>
      <c r="B402" s="5"/>
      <c r="C402" s="5"/>
      <c r="D402" s="5"/>
      <c r="E402" s="68" t="s">
        <v>12549</v>
      </c>
      <c r="F402" s="69">
        <f ca="1">SUM(Table338[MONTO TOTAL ESTIMADO])</f>
        <v>37500</v>
      </c>
      <c r="G402" s="5"/>
      <c r="H402" s="5" t="str">
        <f>C394</f>
        <v>Servicios</v>
      </c>
      <c r="I402" s="5" t="str">
        <f>E394</f>
        <v>Sí</v>
      </c>
      <c r="J402" s="5" t="str">
        <f>D394</f>
        <v>Compras por debajo del Umbral</v>
      </c>
    </row>
    <row r="403" spans="1:10" ht="14.1" customHeight="1" thickBot="1" x14ac:dyDescent="0.3"/>
    <row r="404" spans="1:10" ht="33.75" customHeight="1" thickBot="1" x14ac:dyDescent="0.25">
      <c r="A404" s="59" t="s">
        <v>16382</v>
      </c>
      <c r="B404" s="59" t="s">
        <v>161</v>
      </c>
      <c r="C404" s="59" t="s">
        <v>11723</v>
      </c>
      <c r="D404" s="59" t="s">
        <v>14377</v>
      </c>
      <c r="E404" s="59" t="s">
        <v>10961</v>
      </c>
      <c r="F404" s="59" t="s">
        <v>11094</v>
      </c>
      <c r="G404" s="5"/>
      <c r="H404" s="5"/>
      <c r="I404" s="5"/>
      <c r="J404" s="5"/>
    </row>
    <row r="405" spans="1:10" ht="14.1" customHeight="1" thickBot="1" x14ac:dyDescent="0.25">
      <c r="A405" s="61" t="s">
        <v>18853</v>
      </c>
      <c r="B405" s="61" t="s">
        <v>18854</v>
      </c>
      <c r="C405" s="61" t="s">
        <v>6798</v>
      </c>
      <c r="D405" s="61" t="s">
        <v>10170</v>
      </c>
      <c r="E405" s="61" t="s">
        <v>8854</v>
      </c>
      <c r="F405" s="61"/>
      <c r="G405" s="5"/>
      <c r="H405" s="5"/>
      <c r="I405" s="5"/>
      <c r="J405" s="5"/>
    </row>
    <row r="406" spans="1:10" ht="14.1" customHeight="1" thickBot="1" x14ac:dyDescent="0.25">
      <c r="A406" s="82" t="s">
        <v>14828</v>
      </c>
      <c r="B406" s="62" t="s">
        <v>8528</v>
      </c>
      <c r="C406" s="71">
        <v>44287</v>
      </c>
      <c r="D406" s="82" t="s">
        <v>9385</v>
      </c>
      <c r="E406" s="62" t="s">
        <v>13092</v>
      </c>
      <c r="F406" s="61" t="s">
        <v>3080</v>
      </c>
      <c r="G406" s="5"/>
      <c r="H406" s="5"/>
      <c r="I406" s="5"/>
      <c r="J406" s="5"/>
    </row>
    <row r="407" spans="1:10" ht="14.1" customHeight="1" thickBot="1" x14ac:dyDescent="0.25">
      <c r="A407" s="83"/>
      <c r="B407" s="62" t="s">
        <v>1786</v>
      </c>
      <c r="C407" s="60">
        <f>IF(C406="","",IF(AND(MONTH(C406)&gt;=1,MONTH(C406)&lt;=3),1,IF(AND(MONTH(C406)&gt;=4,MONTH(C406)&lt;=6),2,IF(AND(MONTH(C406)&gt;=7,MONTH(C406)&lt;=9),3,4))))</f>
        <v>2</v>
      </c>
      <c r="D407" s="83"/>
      <c r="E407" s="62" t="s">
        <v>2417</v>
      </c>
      <c r="F407" s="61" t="s">
        <v>11111</v>
      </c>
      <c r="G407" s="5"/>
      <c r="H407" s="5"/>
      <c r="I407" s="5"/>
      <c r="J407" s="5"/>
    </row>
    <row r="408" spans="1:10" ht="14.1" customHeight="1" thickBot="1" x14ac:dyDescent="0.25">
      <c r="A408" s="83"/>
      <c r="B408" s="62" t="s">
        <v>12941</v>
      </c>
      <c r="C408" s="71">
        <v>44288</v>
      </c>
      <c r="D408" s="83"/>
      <c r="E408" s="62" t="s">
        <v>3073</v>
      </c>
      <c r="F408" s="61" t="s">
        <v>11111</v>
      </c>
      <c r="G408" s="5"/>
      <c r="H408" s="5"/>
      <c r="I408" s="5"/>
      <c r="J408" s="5"/>
    </row>
    <row r="409" spans="1:10" ht="14.1" customHeight="1" thickBot="1" x14ac:dyDescent="0.25">
      <c r="A409" s="83"/>
      <c r="B409" s="62" t="s">
        <v>1786</v>
      </c>
      <c r="C409" s="60">
        <f>IF(C408="","",IF(AND(MONTH(C408)&gt;=1,MONTH(C408)&lt;=3),1,IF(AND(MONTH(C408)&gt;=4,MONTH(C408)&lt;=6),2,IF(AND(MONTH(C408)&gt;=7,MONTH(C408)&lt;=9),3,4))))</f>
        <v>2</v>
      </c>
      <c r="D409" s="83"/>
      <c r="E409" s="62" t="s">
        <v>13191</v>
      </c>
      <c r="F409" s="61" t="s">
        <v>11111</v>
      </c>
      <c r="G409" s="5"/>
      <c r="H409" s="5"/>
      <c r="I409" s="5"/>
      <c r="J409" s="5"/>
    </row>
    <row r="410" spans="1:10" ht="14.1" customHeight="1" thickBot="1" x14ac:dyDescent="0.25">
      <c r="A410" s="5"/>
      <c r="B410" s="5"/>
      <c r="C410" s="5"/>
      <c r="D410" s="5"/>
      <c r="E410" s="5"/>
      <c r="F410" s="5"/>
      <c r="G410" s="5"/>
      <c r="H410" s="5"/>
      <c r="I410" s="5"/>
      <c r="J410" s="5"/>
    </row>
    <row r="411" spans="1:10" ht="14.1" customHeight="1" thickBot="1" x14ac:dyDescent="0.25">
      <c r="A411" s="67" t="s">
        <v>15735</v>
      </c>
      <c r="B411" s="67" t="s">
        <v>16146</v>
      </c>
      <c r="C411" s="67" t="s">
        <v>15641</v>
      </c>
      <c r="D411" s="67" t="s">
        <v>15251</v>
      </c>
      <c r="E411" s="67" t="s">
        <v>6932</v>
      </c>
      <c r="F411" s="67" t="s">
        <v>15280</v>
      </c>
      <c r="G411" s="5"/>
      <c r="H411" s="5"/>
      <c r="I411" s="5"/>
      <c r="J411" s="5"/>
    </row>
    <row r="412" spans="1:10" ht="27" customHeight="1" x14ac:dyDescent="0.2">
      <c r="A412" s="63">
        <v>72102305</v>
      </c>
      <c r="B412" s="64" t="str">
        <f ca="1">IFERROR(INDEX(UNSPSCDes,MATCH(INDIRECT(ADDRESS(ROW(),COLUMN()-1,4)),UNSPSCCode,0)),"")</f>
        <v>Servicios de reparación, mantenimiento o reparación de aire acondicionado</v>
      </c>
      <c r="C412" s="63" t="s">
        <v>1449</v>
      </c>
      <c r="D412" s="63">
        <v>1</v>
      </c>
      <c r="E412" s="66">
        <v>37500</v>
      </c>
      <c r="F412" s="65">
        <f ca="1">INDIRECT(ADDRESS(ROW(),COLUMN()-2,4))*INDIRECT(ADDRESS(ROW(),COLUMN()-1,4))</f>
        <v>37500</v>
      </c>
      <c r="G412" s="5"/>
      <c r="H412" s="5"/>
      <c r="I412" s="5"/>
      <c r="J412" s="5"/>
    </row>
    <row r="413" spans="1:10" ht="14.1" customHeight="1" x14ac:dyDescent="0.2">
      <c r="A413" s="5"/>
      <c r="B413" s="5"/>
      <c r="C413" s="5"/>
      <c r="D413" s="5"/>
      <c r="E413" s="68" t="s">
        <v>12549</v>
      </c>
      <c r="F413" s="69">
        <f ca="1">SUM(Table339[MONTO TOTAL ESTIMADO])</f>
        <v>37500</v>
      </c>
      <c r="G413" s="5"/>
      <c r="H413" s="5" t="str">
        <f>C405</f>
        <v>Servicios</v>
      </c>
      <c r="I413" s="5" t="str">
        <f>E405</f>
        <v>Sí</v>
      </c>
      <c r="J413" s="5" t="str">
        <f>D405</f>
        <v>Compras por debajo del Umbral</v>
      </c>
    </row>
    <row r="414" spans="1:10" ht="14.1" customHeight="1" thickBot="1" x14ac:dyDescent="0.3"/>
    <row r="415" spans="1:10" ht="33.75" customHeight="1" thickBot="1" x14ac:dyDescent="0.25">
      <c r="A415" s="59" t="s">
        <v>16382</v>
      </c>
      <c r="B415" s="59" t="s">
        <v>161</v>
      </c>
      <c r="C415" s="59" t="s">
        <v>11723</v>
      </c>
      <c r="D415" s="59" t="s">
        <v>14377</v>
      </c>
      <c r="E415" s="59" t="s">
        <v>10961</v>
      </c>
      <c r="F415" s="59" t="s">
        <v>11094</v>
      </c>
      <c r="G415" s="5"/>
      <c r="H415" s="5"/>
      <c r="I415" s="5"/>
      <c r="J415" s="5"/>
    </row>
    <row r="416" spans="1:10" ht="14.1" customHeight="1" thickBot="1" x14ac:dyDescent="0.25">
      <c r="A416" s="61" t="s">
        <v>18853</v>
      </c>
      <c r="B416" s="61" t="s">
        <v>18854</v>
      </c>
      <c r="C416" s="61" t="s">
        <v>6798</v>
      </c>
      <c r="D416" s="61" t="s">
        <v>10170</v>
      </c>
      <c r="E416" s="61" t="s">
        <v>8854</v>
      </c>
      <c r="F416" s="61"/>
      <c r="G416" s="5"/>
      <c r="H416" s="5"/>
      <c r="I416" s="5"/>
      <c r="J416" s="5"/>
    </row>
    <row r="417" spans="1:10" ht="14.1" customHeight="1" thickBot="1" x14ac:dyDescent="0.25">
      <c r="A417" s="82" t="s">
        <v>14828</v>
      </c>
      <c r="B417" s="62" t="s">
        <v>8528</v>
      </c>
      <c r="C417" s="71">
        <v>44378</v>
      </c>
      <c r="D417" s="82" t="s">
        <v>9385</v>
      </c>
      <c r="E417" s="62" t="s">
        <v>13092</v>
      </c>
      <c r="F417" s="61" t="s">
        <v>3080</v>
      </c>
      <c r="G417" s="5"/>
      <c r="H417" s="5"/>
      <c r="I417" s="5"/>
      <c r="J417" s="5"/>
    </row>
    <row r="418" spans="1:10" ht="14.1" customHeight="1" thickBot="1" x14ac:dyDescent="0.25">
      <c r="A418" s="83"/>
      <c r="B418" s="62" t="s">
        <v>1786</v>
      </c>
      <c r="C418" s="60">
        <f>IF(C417="","",IF(AND(MONTH(C417)&gt;=1,MONTH(C417)&lt;=3),1,IF(AND(MONTH(C417)&gt;=4,MONTH(C417)&lt;=6),2,IF(AND(MONTH(C417)&gt;=7,MONTH(C417)&lt;=9),3,4))))</f>
        <v>3</v>
      </c>
      <c r="D418" s="83"/>
      <c r="E418" s="62" t="s">
        <v>2417</v>
      </c>
      <c r="F418" s="61" t="s">
        <v>11111</v>
      </c>
      <c r="G418" s="5"/>
      <c r="H418" s="5"/>
      <c r="I418" s="5"/>
      <c r="J418" s="5"/>
    </row>
    <row r="419" spans="1:10" ht="14.1" customHeight="1" thickBot="1" x14ac:dyDescent="0.25">
      <c r="A419" s="83"/>
      <c r="B419" s="62" t="s">
        <v>12941</v>
      </c>
      <c r="C419" s="71">
        <v>44379</v>
      </c>
      <c r="D419" s="83"/>
      <c r="E419" s="62" t="s">
        <v>3073</v>
      </c>
      <c r="F419" s="61" t="s">
        <v>11111</v>
      </c>
      <c r="G419" s="5"/>
      <c r="H419" s="5"/>
      <c r="I419" s="5"/>
      <c r="J419" s="5"/>
    </row>
    <row r="420" spans="1:10" ht="14.1" customHeight="1" thickBot="1" x14ac:dyDescent="0.25">
      <c r="A420" s="83"/>
      <c r="B420" s="62" t="s">
        <v>1786</v>
      </c>
      <c r="C420" s="60">
        <f>IF(C419="","",IF(AND(MONTH(C419)&gt;=1,MONTH(C419)&lt;=3),1,IF(AND(MONTH(C419)&gt;=4,MONTH(C419)&lt;=6),2,IF(AND(MONTH(C419)&gt;=7,MONTH(C419)&lt;=9),3,4))))</f>
        <v>3</v>
      </c>
      <c r="D420" s="83"/>
      <c r="E420" s="62" t="s">
        <v>13191</v>
      </c>
      <c r="F420" s="61" t="s">
        <v>11111</v>
      </c>
      <c r="G420" s="5"/>
      <c r="H420" s="5"/>
      <c r="I420" s="5"/>
      <c r="J420" s="5"/>
    </row>
    <row r="421" spans="1:10" ht="14.1" customHeight="1" thickBot="1" x14ac:dyDescent="0.25">
      <c r="A421" s="5"/>
      <c r="B421" s="5"/>
      <c r="C421" s="5"/>
      <c r="D421" s="5"/>
      <c r="E421" s="5"/>
      <c r="F421" s="5"/>
      <c r="G421" s="5"/>
      <c r="H421" s="5"/>
      <c r="I421" s="5"/>
      <c r="J421" s="5"/>
    </row>
    <row r="422" spans="1:10" ht="14.1" customHeight="1" thickBot="1" x14ac:dyDescent="0.25">
      <c r="A422" s="67" t="s">
        <v>15735</v>
      </c>
      <c r="B422" s="67" t="s">
        <v>16146</v>
      </c>
      <c r="C422" s="67" t="s">
        <v>15641</v>
      </c>
      <c r="D422" s="67" t="s">
        <v>15251</v>
      </c>
      <c r="E422" s="67" t="s">
        <v>6932</v>
      </c>
      <c r="F422" s="67" t="s">
        <v>15280</v>
      </c>
      <c r="G422" s="5"/>
      <c r="H422" s="5"/>
      <c r="I422" s="5"/>
      <c r="J422" s="5"/>
    </row>
    <row r="423" spans="1:10" ht="27" customHeight="1" x14ac:dyDescent="0.2">
      <c r="A423" s="63">
        <v>72102305</v>
      </c>
      <c r="B423" s="64" t="str">
        <f ca="1">IFERROR(INDEX(UNSPSCDes,MATCH(INDIRECT(ADDRESS(ROW(),COLUMN()-1,4)),UNSPSCCode,0)),"")</f>
        <v>Servicios de reparación, mantenimiento o reparación de aire acondicionado</v>
      </c>
      <c r="C423" s="63" t="s">
        <v>1449</v>
      </c>
      <c r="D423" s="63">
        <v>1</v>
      </c>
      <c r="E423" s="66">
        <v>37500</v>
      </c>
      <c r="F423" s="65">
        <f ca="1">INDIRECT(ADDRESS(ROW(),COLUMN()-2,4))*INDIRECT(ADDRESS(ROW(),COLUMN()-1,4))</f>
        <v>37500</v>
      </c>
      <c r="G423" s="5"/>
      <c r="H423" s="5"/>
      <c r="I423" s="5"/>
      <c r="J423" s="5"/>
    </row>
    <row r="424" spans="1:10" ht="14.1" customHeight="1" x14ac:dyDescent="0.2">
      <c r="A424" s="5"/>
      <c r="B424" s="5"/>
      <c r="C424" s="5"/>
      <c r="D424" s="5"/>
      <c r="E424" s="68" t="s">
        <v>12549</v>
      </c>
      <c r="F424" s="69">
        <f ca="1">SUM(Table340[MONTO TOTAL ESTIMADO])</f>
        <v>37500</v>
      </c>
      <c r="G424" s="5"/>
      <c r="H424" s="5" t="str">
        <f>C416</f>
        <v>Servicios</v>
      </c>
      <c r="I424" s="5" t="str">
        <f>E416</f>
        <v>Sí</v>
      </c>
      <c r="J424" s="5" t="str">
        <f>D416</f>
        <v>Compras por debajo del Umbral</v>
      </c>
    </row>
    <row r="425" spans="1:10" ht="14.1" customHeight="1" thickBot="1" x14ac:dyDescent="0.3"/>
    <row r="426" spans="1:10" ht="33.75" customHeight="1" thickBot="1" x14ac:dyDescent="0.25">
      <c r="A426" s="59" t="s">
        <v>16382</v>
      </c>
      <c r="B426" s="59" t="s">
        <v>161</v>
      </c>
      <c r="C426" s="59" t="s">
        <v>11723</v>
      </c>
      <c r="D426" s="59" t="s">
        <v>14377</v>
      </c>
      <c r="E426" s="59" t="s">
        <v>10961</v>
      </c>
      <c r="F426" s="59" t="s">
        <v>11094</v>
      </c>
      <c r="G426" s="5"/>
      <c r="H426" s="5"/>
      <c r="I426" s="5"/>
      <c r="J426" s="5"/>
    </row>
    <row r="427" spans="1:10" ht="14.1" customHeight="1" thickBot="1" x14ac:dyDescent="0.25">
      <c r="A427" s="61" t="s">
        <v>18853</v>
      </c>
      <c r="B427" s="61" t="s">
        <v>18854</v>
      </c>
      <c r="C427" s="61" t="s">
        <v>6798</v>
      </c>
      <c r="D427" s="61" t="s">
        <v>10170</v>
      </c>
      <c r="E427" s="61" t="s">
        <v>8854</v>
      </c>
      <c r="F427" s="61"/>
      <c r="G427" s="5"/>
      <c r="H427" s="5"/>
      <c r="I427" s="5"/>
      <c r="J427" s="5"/>
    </row>
    <row r="428" spans="1:10" ht="14.1" customHeight="1" thickBot="1" x14ac:dyDescent="0.25">
      <c r="A428" s="82" t="s">
        <v>14828</v>
      </c>
      <c r="B428" s="62" t="s">
        <v>8528</v>
      </c>
      <c r="C428" s="71">
        <v>44470</v>
      </c>
      <c r="D428" s="82" t="s">
        <v>9385</v>
      </c>
      <c r="E428" s="62" t="s">
        <v>13092</v>
      </c>
      <c r="F428" s="61" t="s">
        <v>3080</v>
      </c>
      <c r="G428" s="5"/>
      <c r="H428" s="5"/>
      <c r="I428" s="5"/>
      <c r="J428" s="5"/>
    </row>
    <row r="429" spans="1:10" ht="14.1" customHeight="1" thickBot="1" x14ac:dyDescent="0.25">
      <c r="A429" s="83"/>
      <c r="B429" s="62" t="s">
        <v>1786</v>
      </c>
      <c r="C429" s="60">
        <f>IF(C428="","",IF(AND(MONTH(C428)&gt;=1,MONTH(C428)&lt;=3),1,IF(AND(MONTH(C428)&gt;=4,MONTH(C428)&lt;=6),2,IF(AND(MONTH(C428)&gt;=7,MONTH(C428)&lt;=9),3,4))))</f>
        <v>4</v>
      </c>
      <c r="D429" s="83"/>
      <c r="E429" s="62" t="s">
        <v>2417</v>
      </c>
      <c r="F429" s="61" t="s">
        <v>11111</v>
      </c>
      <c r="G429" s="5"/>
      <c r="H429" s="5"/>
      <c r="I429" s="5"/>
      <c r="J429" s="5"/>
    </row>
    <row r="430" spans="1:10" ht="14.1" customHeight="1" thickBot="1" x14ac:dyDescent="0.25">
      <c r="A430" s="83"/>
      <c r="B430" s="62" t="s">
        <v>12941</v>
      </c>
      <c r="C430" s="71">
        <v>44473</v>
      </c>
      <c r="D430" s="83"/>
      <c r="E430" s="62" t="s">
        <v>3073</v>
      </c>
      <c r="F430" s="61" t="s">
        <v>11111</v>
      </c>
      <c r="G430" s="5"/>
      <c r="H430" s="5"/>
      <c r="I430" s="5"/>
      <c r="J430" s="5"/>
    </row>
    <row r="431" spans="1:10" ht="14.1" customHeight="1" thickBot="1" x14ac:dyDescent="0.25">
      <c r="A431" s="83"/>
      <c r="B431" s="62" t="s">
        <v>1786</v>
      </c>
      <c r="C431" s="60">
        <f>IF(C430="","",IF(AND(MONTH(C430)&gt;=1,MONTH(C430)&lt;=3),1,IF(AND(MONTH(C430)&gt;=4,MONTH(C430)&lt;=6),2,IF(AND(MONTH(C430)&gt;=7,MONTH(C430)&lt;=9),3,4))))</f>
        <v>4</v>
      </c>
      <c r="D431" s="83"/>
      <c r="E431" s="62" t="s">
        <v>13191</v>
      </c>
      <c r="F431" s="61" t="s">
        <v>11111</v>
      </c>
      <c r="G431" s="5"/>
      <c r="H431" s="5"/>
      <c r="I431" s="5"/>
      <c r="J431" s="5"/>
    </row>
    <row r="432" spans="1:10" ht="14.1" customHeight="1" thickBot="1" x14ac:dyDescent="0.25">
      <c r="A432" s="5"/>
      <c r="B432" s="5"/>
      <c r="C432" s="5"/>
      <c r="D432" s="5"/>
      <c r="E432" s="5"/>
      <c r="F432" s="5"/>
      <c r="G432" s="5"/>
      <c r="H432" s="5"/>
      <c r="I432" s="5"/>
      <c r="J432" s="5"/>
    </row>
    <row r="433" spans="1:10" ht="14.1" customHeight="1" thickBot="1" x14ac:dyDescent="0.25">
      <c r="A433" s="67" t="s">
        <v>15735</v>
      </c>
      <c r="B433" s="67" t="s">
        <v>16146</v>
      </c>
      <c r="C433" s="67" t="s">
        <v>15641</v>
      </c>
      <c r="D433" s="67" t="s">
        <v>15251</v>
      </c>
      <c r="E433" s="67" t="s">
        <v>6932</v>
      </c>
      <c r="F433" s="67" t="s">
        <v>15280</v>
      </c>
      <c r="G433" s="5"/>
      <c r="H433" s="5"/>
      <c r="I433" s="5"/>
      <c r="J433" s="5"/>
    </row>
    <row r="434" spans="1:10" ht="27" customHeight="1" x14ac:dyDescent="0.2">
      <c r="A434" s="63">
        <v>72102305</v>
      </c>
      <c r="B434" s="64" t="str">
        <f ca="1">IFERROR(INDEX(UNSPSCDes,MATCH(INDIRECT(ADDRESS(ROW(),COLUMN()-1,4)),UNSPSCCode,0)),"")</f>
        <v>Servicios de reparación, mantenimiento o reparación de aire acondicionado</v>
      </c>
      <c r="C434" s="63" t="s">
        <v>1449</v>
      </c>
      <c r="D434" s="63">
        <v>1</v>
      </c>
      <c r="E434" s="66">
        <v>37500</v>
      </c>
      <c r="F434" s="65">
        <f ca="1">INDIRECT(ADDRESS(ROW(),COLUMN()-2,4))*INDIRECT(ADDRESS(ROW(),COLUMN()-1,4))</f>
        <v>37500</v>
      </c>
      <c r="G434" s="5"/>
      <c r="H434" s="5"/>
      <c r="I434" s="5"/>
      <c r="J434" s="5"/>
    </row>
    <row r="435" spans="1:10" ht="14.1" customHeight="1" x14ac:dyDescent="0.2">
      <c r="A435" s="5"/>
      <c r="B435" s="5"/>
      <c r="C435" s="5"/>
      <c r="D435" s="5"/>
      <c r="E435" s="68" t="s">
        <v>12549</v>
      </c>
      <c r="F435" s="69">
        <f ca="1">SUM(Table341[MONTO TOTAL ESTIMADO])</f>
        <v>37500</v>
      </c>
      <c r="G435" s="5"/>
      <c r="H435" s="5" t="str">
        <f>C427</f>
        <v>Servicios</v>
      </c>
      <c r="I435" s="5" t="str">
        <f>E427</f>
        <v>Sí</v>
      </c>
      <c r="J435" s="5" t="str">
        <f>D427</f>
        <v>Compras por debajo del Umbral</v>
      </c>
    </row>
    <row r="436" spans="1:10" ht="14.1" customHeight="1" thickBot="1" x14ac:dyDescent="0.3"/>
    <row r="437" spans="1:10" ht="33.75" customHeight="1" thickBot="1" x14ac:dyDescent="0.25">
      <c r="A437" s="59" t="s">
        <v>16382</v>
      </c>
      <c r="B437" s="59" t="s">
        <v>161</v>
      </c>
      <c r="C437" s="59" t="s">
        <v>11723</v>
      </c>
      <c r="D437" s="59" t="s">
        <v>14377</v>
      </c>
      <c r="E437" s="59" t="s">
        <v>10961</v>
      </c>
      <c r="F437" s="59" t="s">
        <v>11094</v>
      </c>
      <c r="G437" s="5"/>
      <c r="H437" s="5"/>
      <c r="I437" s="5"/>
      <c r="J437" s="5"/>
    </row>
    <row r="438" spans="1:10" ht="14.1" customHeight="1" thickBot="1" x14ac:dyDescent="0.25">
      <c r="A438" s="61" t="s">
        <v>18855</v>
      </c>
      <c r="B438" s="61" t="s">
        <v>18856</v>
      </c>
      <c r="C438" s="61" t="s">
        <v>6798</v>
      </c>
      <c r="D438" s="61" t="s">
        <v>10170</v>
      </c>
      <c r="E438" s="61" t="s">
        <v>8854</v>
      </c>
      <c r="F438" s="61"/>
      <c r="G438" s="5"/>
      <c r="H438" s="5"/>
      <c r="I438" s="5"/>
      <c r="J438" s="5"/>
    </row>
    <row r="439" spans="1:10" ht="14.1" customHeight="1" thickBot="1" x14ac:dyDescent="0.25">
      <c r="A439" s="82" t="s">
        <v>14828</v>
      </c>
      <c r="B439" s="62" t="s">
        <v>8528</v>
      </c>
      <c r="C439" s="71">
        <v>44197</v>
      </c>
      <c r="D439" s="82" t="s">
        <v>9385</v>
      </c>
      <c r="E439" s="62" t="s">
        <v>13092</v>
      </c>
      <c r="F439" s="61" t="s">
        <v>3080</v>
      </c>
      <c r="G439" s="5"/>
      <c r="H439" s="5"/>
      <c r="I439" s="5"/>
      <c r="J439" s="5"/>
    </row>
    <row r="440" spans="1:10" ht="14.1" customHeight="1" thickBot="1" x14ac:dyDescent="0.25">
      <c r="A440" s="83"/>
      <c r="B440" s="62" t="s">
        <v>1786</v>
      </c>
      <c r="C440" s="60">
        <f>IF(C439="","",IF(AND(MONTH(C439)&gt;=1,MONTH(C439)&lt;=3),1,IF(AND(MONTH(C439)&gt;=4,MONTH(C439)&lt;=6),2,IF(AND(MONTH(C439)&gt;=7,MONTH(C439)&lt;=9),3,4))))</f>
        <v>1</v>
      </c>
      <c r="D440" s="83"/>
      <c r="E440" s="62" t="s">
        <v>2417</v>
      </c>
      <c r="F440" s="61" t="s">
        <v>11111</v>
      </c>
      <c r="G440" s="5"/>
      <c r="H440" s="5"/>
      <c r="I440" s="5"/>
      <c r="J440" s="5"/>
    </row>
    <row r="441" spans="1:10" ht="14.1" customHeight="1" thickBot="1" x14ac:dyDescent="0.25">
      <c r="A441" s="83"/>
      <c r="B441" s="62" t="s">
        <v>12941</v>
      </c>
      <c r="C441" s="71">
        <v>44198</v>
      </c>
      <c r="D441" s="83"/>
      <c r="E441" s="62" t="s">
        <v>3073</v>
      </c>
      <c r="F441" s="61" t="s">
        <v>11111</v>
      </c>
      <c r="G441" s="5"/>
      <c r="H441" s="5"/>
      <c r="I441" s="5"/>
      <c r="J441" s="5"/>
    </row>
    <row r="442" spans="1:10" ht="14.1" customHeight="1" thickBot="1" x14ac:dyDescent="0.25">
      <c r="A442" s="83"/>
      <c r="B442" s="62" t="s">
        <v>1786</v>
      </c>
      <c r="C442" s="60">
        <f>IF(C441="","",IF(AND(MONTH(C441)&gt;=1,MONTH(C441)&lt;=3),1,IF(AND(MONTH(C441)&gt;=4,MONTH(C441)&lt;=6),2,IF(AND(MONTH(C441)&gt;=7,MONTH(C441)&lt;=9),3,4))))</f>
        <v>1</v>
      </c>
      <c r="D442" s="83"/>
      <c r="E442" s="62" t="s">
        <v>13191</v>
      </c>
      <c r="F442" s="61" t="s">
        <v>11111</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15735</v>
      </c>
      <c r="B444" s="67" t="s">
        <v>16146</v>
      </c>
      <c r="C444" s="67" t="s">
        <v>15641</v>
      </c>
      <c r="D444" s="67" t="s">
        <v>15251</v>
      </c>
      <c r="E444" s="67" t="s">
        <v>6932</v>
      </c>
      <c r="F444" s="67" t="s">
        <v>15280</v>
      </c>
      <c r="G444" s="5"/>
      <c r="H444" s="5"/>
      <c r="I444" s="5"/>
      <c r="J444" s="5"/>
    </row>
    <row r="445" spans="1:10" ht="27" customHeight="1" x14ac:dyDescent="0.2">
      <c r="A445" s="63">
        <v>80121601</v>
      </c>
      <c r="B445" s="64" t="str">
        <f ca="1">IFERROR(INDEX(UNSPSCDes,MATCH(INDIRECT(ADDRESS(ROW(),COLUMN()-1,4)),UNSPSCCode,0)),"")</f>
        <v>Servicios legales sobre competencia o regulaciones gubernamentales</v>
      </c>
      <c r="C445" s="63" t="s">
        <v>1449</v>
      </c>
      <c r="D445" s="63">
        <v>3</v>
      </c>
      <c r="E445" s="66">
        <v>3000</v>
      </c>
      <c r="F445" s="65">
        <f ca="1">INDIRECT(ADDRESS(ROW(),COLUMN()-2,4))*INDIRECT(ADDRESS(ROW(),COLUMN()-1,4))</f>
        <v>9000</v>
      </c>
      <c r="G445" s="5"/>
      <c r="H445" s="5"/>
      <c r="I445" s="5"/>
      <c r="J445" s="5"/>
    </row>
    <row r="446" spans="1:10" ht="14.1" customHeight="1" x14ac:dyDescent="0.2">
      <c r="A446" s="5"/>
      <c r="B446" s="5"/>
      <c r="C446" s="5"/>
      <c r="D446" s="5"/>
      <c r="E446" s="68" t="s">
        <v>12549</v>
      </c>
      <c r="F446" s="69">
        <f ca="1">SUM(Table342[MONTO TOTAL ESTIMADO])</f>
        <v>9000</v>
      </c>
      <c r="G446" s="5"/>
      <c r="H446" s="5" t="str">
        <f>C438</f>
        <v>Servicios</v>
      </c>
      <c r="I446" s="5" t="str">
        <f>E438</f>
        <v>Sí</v>
      </c>
      <c r="J446" s="5" t="str">
        <f>D438</f>
        <v>Compras por debajo del Umbral</v>
      </c>
    </row>
    <row r="447" spans="1:10" ht="14.1" customHeight="1" thickBot="1" x14ac:dyDescent="0.3"/>
    <row r="448" spans="1:10" ht="33.75" customHeight="1" thickBot="1" x14ac:dyDescent="0.25">
      <c r="A448" s="59" t="s">
        <v>16382</v>
      </c>
      <c r="B448" s="59" t="s">
        <v>161</v>
      </c>
      <c r="C448" s="59" t="s">
        <v>11723</v>
      </c>
      <c r="D448" s="59" t="s">
        <v>14377</v>
      </c>
      <c r="E448" s="59" t="s">
        <v>10961</v>
      </c>
      <c r="F448" s="59" t="s">
        <v>11094</v>
      </c>
      <c r="G448" s="5"/>
      <c r="H448" s="5"/>
      <c r="I448" s="5"/>
      <c r="J448" s="5"/>
    </row>
    <row r="449" spans="1:10" ht="14.1" customHeight="1" thickBot="1" x14ac:dyDescent="0.25">
      <c r="A449" s="61" t="s">
        <v>18855</v>
      </c>
      <c r="B449" s="61" t="s">
        <v>18856</v>
      </c>
      <c r="C449" s="61" t="s">
        <v>6798</v>
      </c>
      <c r="D449" s="61" t="s">
        <v>10170</v>
      </c>
      <c r="E449" s="61" t="s">
        <v>8854</v>
      </c>
      <c r="F449" s="61"/>
      <c r="G449" s="5"/>
      <c r="H449" s="5"/>
      <c r="I449" s="5"/>
      <c r="J449" s="5"/>
    </row>
    <row r="450" spans="1:10" ht="14.1" customHeight="1" thickBot="1" x14ac:dyDescent="0.25">
      <c r="A450" s="82" t="s">
        <v>14828</v>
      </c>
      <c r="B450" s="62" t="s">
        <v>8528</v>
      </c>
      <c r="C450" s="71">
        <v>44287</v>
      </c>
      <c r="D450" s="82" t="s">
        <v>9385</v>
      </c>
      <c r="E450" s="62" t="s">
        <v>13092</v>
      </c>
      <c r="F450" s="61" t="s">
        <v>3080</v>
      </c>
      <c r="G450" s="5"/>
      <c r="H450" s="5"/>
      <c r="I450" s="5"/>
      <c r="J450" s="5"/>
    </row>
    <row r="451" spans="1:10" ht="14.1" customHeight="1" thickBot="1" x14ac:dyDescent="0.25">
      <c r="A451" s="83"/>
      <c r="B451" s="62" t="s">
        <v>1786</v>
      </c>
      <c r="C451" s="60">
        <f>IF(C450="","",IF(AND(MONTH(C450)&gt;=1,MONTH(C450)&lt;=3),1,IF(AND(MONTH(C450)&gt;=4,MONTH(C450)&lt;=6),2,IF(AND(MONTH(C450)&gt;=7,MONTH(C450)&lt;=9),3,4))))</f>
        <v>2</v>
      </c>
      <c r="D451" s="83"/>
      <c r="E451" s="62" t="s">
        <v>2417</v>
      </c>
      <c r="F451" s="61" t="s">
        <v>11111</v>
      </c>
      <c r="G451" s="5"/>
      <c r="H451" s="5"/>
      <c r="I451" s="5"/>
      <c r="J451" s="5"/>
    </row>
    <row r="452" spans="1:10" ht="14.1" customHeight="1" thickBot="1" x14ac:dyDescent="0.25">
      <c r="A452" s="83"/>
      <c r="B452" s="62" t="s">
        <v>12941</v>
      </c>
      <c r="C452" s="71">
        <v>44288</v>
      </c>
      <c r="D452" s="83"/>
      <c r="E452" s="62" t="s">
        <v>3073</v>
      </c>
      <c r="F452" s="61" t="s">
        <v>11111</v>
      </c>
      <c r="G452" s="5"/>
      <c r="H452" s="5"/>
      <c r="I452" s="5"/>
      <c r="J452" s="5"/>
    </row>
    <row r="453" spans="1:10" ht="14.1" customHeight="1" thickBot="1" x14ac:dyDescent="0.25">
      <c r="A453" s="83"/>
      <c r="B453" s="62" t="s">
        <v>1786</v>
      </c>
      <c r="C453" s="60">
        <f>IF(C452="","",IF(AND(MONTH(C452)&gt;=1,MONTH(C452)&lt;=3),1,IF(AND(MONTH(C452)&gt;=4,MONTH(C452)&lt;=6),2,IF(AND(MONTH(C452)&gt;=7,MONTH(C452)&lt;=9),3,4))))</f>
        <v>2</v>
      </c>
      <c r="D453" s="83"/>
      <c r="E453" s="62" t="s">
        <v>13191</v>
      </c>
      <c r="F453" s="61" t="s">
        <v>11111</v>
      </c>
      <c r="G453" s="5"/>
      <c r="H453" s="5"/>
      <c r="I453" s="5"/>
      <c r="J453" s="5"/>
    </row>
    <row r="454" spans="1:10" ht="14.1" customHeight="1" thickBot="1" x14ac:dyDescent="0.25">
      <c r="A454" s="5"/>
      <c r="B454" s="5"/>
      <c r="C454" s="5"/>
      <c r="D454" s="5"/>
      <c r="E454" s="5"/>
      <c r="F454" s="5"/>
      <c r="G454" s="5"/>
      <c r="H454" s="5"/>
      <c r="I454" s="5"/>
      <c r="J454" s="5"/>
    </row>
    <row r="455" spans="1:10" ht="14.1" customHeight="1" thickBot="1" x14ac:dyDescent="0.25">
      <c r="A455" s="67" t="s">
        <v>15735</v>
      </c>
      <c r="B455" s="67" t="s">
        <v>16146</v>
      </c>
      <c r="C455" s="67" t="s">
        <v>15641</v>
      </c>
      <c r="D455" s="67" t="s">
        <v>15251</v>
      </c>
      <c r="E455" s="67" t="s">
        <v>6932</v>
      </c>
      <c r="F455" s="67" t="s">
        <v>15280</v>
      </c>
      <c r="G455" s="5"/>
      <c r="H455" s="5"/>
      <c r="I455" s="5"/>
      <c r="J455" s="5"/>
    </row>
    <row r="456" spans="1:10" ht="27" customHeight="1" x14ac:dyDescent="0.2">
      <c r="A456" s="63">
        <v>80121601</v>
      </c>
      <c r="B456" s="64" t="str">
        <f ca="1">IFERROR(INDEX(UNSPSCDes,MATCH(INDIRECT(ADDRESS(ROW(),COLUMN()-1,4)),UNSPSCCode,0)),"")</f>
        <v>Servicios legales sobre competencia o regulaciones gubernamentales</v>
      </c>
      <c r="C456" s="63" t="s">
        <v>1449</v>
      </c>
      <c r="D456" s="63">
        <v>3</v>
      </c>
      <c r="E456" s="66">
        <v>3000</v>
      </c>
      <c r="F456" s="65">
        <f ca="1">INDIRECT(ADDRESS(ROW(),COLUMN()-2,4))*INDIRECT(ADDRESS(ROW(),COLUMN()-1,4))</f>
        <v>9000</v>
      </c>
      <c r="G456" s="5"/>
      <c r="H456" s="5"/>
      <c r="I456" s="5"/>
      <c r="J456" s="5"/>
    </row>
    <row r="457" spans="1:10" ht="14.1" customHeight="1" x14ac:dyDescent="0.2">
      <c r="A457" s="5"/>
      <c r="B457" s="5"/>
      <c r="C457" s="5"/>
      <c r="D457" s="5"/>
      <c r="E457" s="68" t="s">
        <v>12549</v>
      </c>
      <c r="F457" s="69">
        <f ca="1">SUM(Table343[MONTO TOTAL ESTIMADO])</f>
        <v>9000</v>
      </c>
      <c r="G457" s="5"/>
      <c r="H457" s="5" t="str">
        <f>C449</f>
        <v>Servicios</v>
      </c>
      <c r="I457" s="5" t="str">
        <f>E449</f>
        <v>Sí</v>
      </c>
      <c r="J457" s="5" t="str">
        <f>D449</f>
        <v>Compras por debajo del Umbral</v>
      </c>
    </row>
    <row r="458" spans="1:10" ht="14.1" customHeight="1" thickBot="1" x14ac:dyDescent="0.3"/>
    <row r="459" spans="1:10" ht="33.75" customHeight="1" thickBot="1" x14ac:dyDescent="0.25">
      <c r="A459" s="59" t="s">
        <v>16382</v>
      </c>
      <c r="B459" s="59" t="s">
        <v>161</v>
      </c>
      <c r="C459" s="59" t="s">
        <v>11723</v>
      </c>
      <c r="D459" s="59" t="s">
        <v>14377</v>
      </c>
      <c r="E459" s="59" t="s">
        <v>10961</v>
      </c>
      <c r="F459" s="59" t="s">
        <v>11094</v>
      </c>
      <c r="G459" s="5"/>
      <c r="H459" s="5"/>
      <c r="I459" s="5"/>
      <c r="J459" s="5"/>
    </row>
    <row r="460" spans="1:10" ht="14.1" customHeight="1" thickBot="1" x14ac:dyDescent="0.25">
      <c r="A460" s="61" t="s">
        <v>18855</v>
      </c>
      <c r="B460" s="61" t="s">
        <v>18856</v>
      </c>
      <c r="C460" s="61" t="s">
        <v>6798</v>
      </c>
      <c r="D460" s="61" t="s">
        <v>10170</v>
      </c>
      <c r="E460" s="61" t="s">
        <v>8854</v>
      </c>
      <c r="F460" s="61"/>
      <c r="G460" s="5"/>
      <c r="H460" s="5"/>
      <c r="I460" s="5"/>
      <c r="J460" s="5"/>
    </row>
    <row r="461" spans="1:10" ht="14.1" customHeight="1" thickBot="1" x14ac:dyDescent="0.25">
      <c r="A461" s="82" t="s">
        <v>14828</v>
      </c>
      <c r="B461" s="62" t="s">
        <v>8528</v>
      </c>
      <c r="C461" s="71">
        <v>44378</v>
      </c>
      <c r="D461" s="82" t="s">
        <v>9385</v>
      </c>
      <c r="E461" s="62" t="s">
        <v>13092</v>
      </c>
      <c r="F461" s="61" t="s">
        <v>3080</v>
      </c>
      <c r="G461" s="5"/>
      <c r="H461" s="5"/>
      <c r="I461" s="5"/>
      <c r="J461" s="5"/>
    </row>
    <row r="462" spans="1:10" ht="14.1" customHeight="1" thickBot="1" x14ac:dyDescent="0.25">
      <c r="A462" s="83"/>
      <c r="B462" s="62" t="s">
        <v>1786</v>
      </c>
      <c r="C462" s="60">
        <f>IF(C461="","",IF(AND(MONTH(C461)&gt;=1,MONTH(C461)&lt;=3),1,IF(AND(MONTH(C461)&gt;=4,MONTH(C461)&lt;=6),2,IF(AND(MONTH(C461)&gt;=7,MONTH(C461)&lt;=9),3,4))))</f>
        <v>3</v>
      </c>
      <c r="D462" s="83"/>
      <c r="E462" s="62" t="s">
        <v>2417</v>
      </c>
      <c r="F462" s="61" t="s">
        <v>11111</v>
      </c>
      <c r="G462" s="5"/>
      <c r="H462" s="5"/>
      <c r="I462" s="5"/>
      <c r="J462" s="5"/>
    </row>
    <row r="463" spans="1:10" ht="14.1" customHeight="1" thickBot="1" x14ac:dyDescent="0.25">
      <c r="A463" s="83"/>
      <c r="B463" s="62" t="s">
        <v>12941</v>
      </c>
      <c r="C463" s="71">
        <v>44379</v>
      </c>
      <c r="D463" s="83"/>
      <c r="E463" s="62" t="s">
        <v>3073</v>
      </c>
      <c r="F463" s="61" t="s">
        <v>11111</v>
      </c>
      <c r="G463" s="5"/>
      <c r="H463" s="5"/>
      <c r="I463" s="5"/>
      <c r="J463" s="5"/>
    </row>
    <row r="464" spans="1:10" ht="14.1" customHeight="1" thickBot="1" x14ac:dyDescent="0.25">
      <c r="A464" s="83"/>
      <c r="B464" s="62" t="s">
        <v>1786</v>
      </c>
      <c r="C464" s="60">
        <f>IF(C463="","",IF(AND(MONTH(C463)&gt;=1,MONTH(C463)&lt;=3),1,IF(AND(MONTH(C463)&gt;=4,MONTH(C463)&lt;=6),2,IF(AND(MONTH(C463)&gt;=7,MONTH(C463)&lt;=9),3,4))))</f>
        <v>3</v>
      </c>
      <c r="D464" s="83"/>
      <c r="E464" s="62" t="s">
        <v>13191</v>
      </c>
      <c r="F464" s="61" t="s">
        <v>11111</v>
      </c>
      <c r="G464" s="5"/>
      <c r="H464" s="5"/>
      <c r="I464" s="5"/>
      <c r="J464" s="5"/>
    </row>
    <row r="465" spans="1:10" ht="14.1" customHeight="1" thickBot="1" x14ac:dyDescent="0.25">
      <c r="A465" s="5"/>
      <c r="B465" s="5"/>
      <c r="C465" s="5"/>
      <c r="D465" s="5"/>
      <c r="E465" s="5"/>
      <c r="F465" s="5"/>
      <c r="G465" s="5"/>
      <c r="H465" s="5"/>
      <c r="I465" s="5"/>
      <c r="J465" s="5"/>
    </row>
    <row r="466" spans="1:10" ht="14.1" customHeight="1" thickBot="1" x14ac:dyDescent="0.25">
      <c r="A466" s="67" t="s">
        <v>15735</v>
      </c>
      <c r="B466" s="67" t="s">
        <v>16146</v>
      </c>
      <c r="C466" s="67" t="s">
        <v>15641</v>
      </c>
      <c r="D466" s="67" t="s">
        <v>15251</v>
      </c>
      <c r="E466" s="67" t="s">
        <v>6932</v>
      </c>
      <c r="F466" s="67" t="s">
        <v>15280</v>
      </c>
      <c r="G466" s="5"/>
      <c r="H466" s="5"/>
      <c r="I466" s="5"/>
      <c r="J466" s="5"/>
    </row>
    <row r="467" spans="1:10" ht="27" customHeight="1" x14ac:dyDescent="0.2">
      <c r="A467" s="63">
        <v>80121601</v>
      </c>
      <c r="B467" s="64" t="str">
        <f ca="1">IFERROR(INDEX(UNSPSCDes,MATCH(INDIRECT(ADDRESS(ROW(),COLUMN()-1,4)),UNSPSCCode,0)),"")</f>
        <v>Servicios legales sobre competencia o regulaciones gubernamentales</v>
      </c>
      <c r="C467" s="63" t="s">
        <v>1449</v>
      </c>
      <c r="D467" s="63">
        <v>3</v>
      </c>
      <c r="E467" s="66">
        <v>3000</v>
      </c>
      <c r="F467" s="65">
        <f ca="1">INDIRECT(ADDRESS(ROW(),COLUMN()-2,4))*INDIRECT(ADDRESS(ROW(),COLUMN()-1,4))</f>
        <v>9000</v>
      </c>
      <c r="G467" s="5"/>
      <c r="H467" s="5"/>
      <c r="I467" s="5"/>
      <c r="J467" s="5"/>
    </row>
    <row r="468" spans="1:10" ht="14.1" customHeight="1" x14ac:dyDescent="0.2">
      <c r="A468" s="5"/>
      <c r="B468" s="5"/>
      <c r="C468" s="5"/>
      <c r="D468" s="5"/>
      <c r="E468" s="68" t="s">
        <v>12549</v>
      </c>
      <c r="F468" s="69">
        <f ca="1">SUM(Table344[MONTO TOTAL ESTIMADO])</f>
        <v>9000</v>
      </c>
      <c r="G468" s="5"/>
      <c r="H468" s="5" t="str">
        <f>C460</f>
        <v>Servicios</v>
      </c>
      <c r="I468" s="5" t="str">
        <f>E460</f>
        <v>Sí</v>
      </c>
      <c r="J468" s="5" t="str">
        <f>D460</f>
        <v>Compras por debajo del Umbral</v>
      </c>
    </row>
    <row r="469" spans="1:10" ht="14.1" customHeight="1" thickBot="1" x14ac:dyDescent="0.3"/>
    <row r="470" spans="1:10" ht="33.75" customHeight="1" thickBot="1" x14ac:dyDescent="0.25">
      <c r="A470" s="59" t="s">
        <v>16382</v>
      </c>
      <c r="B470" s="59" t="s">
        <v>161</v>
      </c>
      <c r="C470" s="59" t="s">
        <v>11723</v>
      </c>
      <c r="D470" s="59" t="s">
        <v>14377</v>
      </c>
      <c r="E470" s="59" t="s">
        <v>10961</v>
      </c>
      <c r="F470" s="59" t="s">
        <v>11094</v>
      </c>
      <c r="G470" s="5"/>
      <c r="H470" s="5"/>
      <c r="I470" s="5"/>
      <c r="J470" s="5"/>
    </row>
    <row r="471" spans="1:10" ht="14.1" customHeight="1" thickBot="1" x14ac:dyDescent="0.25">
      <c r="A471" s="61" t="s">
        <v>18855</v>
      </c>
      <c r="B471" s="61" t="s">
        <v>18856</v>
      </c>
      <c r="C471" s="61" t="s">
        <v>6798</v>
      </c>
      <c r="D471" s="61" t="s">
        <v>10170</v>
      </c>
      <c r="E471" s="61" t="s">
        <v>8854</v>
      </c>
      <c r="F471" s="61"/>
      <c r="G471" s="5"/>
      <c r="H471" s="5"/>
      <c r="I471" s="5"/>
      <c r="J471" s="5"/>
    </row>
    <row r="472" spans="1:10" ht="14.1" customHeight="1" thickBot="1" x14ac:dyDescent="0.25">
      <c r="A472" s="82" t="s">
        <v>14828</v>
      </c>
      <c r="B472" s="62" t="s">
        <v>8528</v>
      </c>
      <c r="C472" s="71">
        <v>44470</v>
      </c>
      <c r="D472" s="82" t="s">
        <v>9385</v>
      </c>
      <c r="E472" s="62" t="s">
        <v>13092</v>
      </c>
      <c r="F472" s="61" t="s">
        <v>3080</v>
      </c>
      <c r="G472" s="5"/>
      <c r="H472" s="5"/>
      <c r="I472" s="5"/>
      <c r="J472" s="5"/>
    </row>
    <row r="473" spans="1:10" ht="14.1" customHeight="1" thickBot="1" x14ac:dyDescent="0.25">
      <c r="A473" s="83"/>
      <c r="B473" s="62" t="s">
        <v>1786</v>
      </c>
      <c r="C473" s="60">
        <f>IF(C472="","",IF(AND(MONTH(C472)&gt;=1,MONTH(C472)&lt;=3),1,IF(AND(MONTH(C472)&gt;=4,MONTH(C472)&lt;=6),2,IF(AND(MONTH(C472)&gt;=7,MONTH(C472)&lt;=9),3,4))))</f>
        <v>4</v>
      </c>
      <c r="D473" s="83"/>
      <c r="E473" s="62" t="s">
        <v>2417</v>
      </c>
      <c r="F473" s="61" t="s">
        <v>11111</v>
      </c>
      <c r="G473" s="5"/>
      <c r="H473" s="5"/>
      <c r="I473" s="5"/>
      <c r="J473" s="5"/>
    </row>
    <row r="474" spans="1:10" ht="14.1" customHeight="1" thickBot="1" x14ac:dyDescent="0.25">
      <c r="A474" s="83"/>
      <c r="B474" s="62" t="s">
        <v>12941</v>
      </c>
      <c r="C474" s="71">
        <v>44473</v>
      </c>
      <c r="D474" s="83"/>
      <c r="E474" s="62" t="s">
        <v>3073</v>
      </c>
      <c r="F474" s="61" t="s">
        <v>11111</v>
      </c>
      <c r="G474" s="5"/>
      <c r="H474" s="5"/>
      <c r="I474" s="5"/>
      <c r="J474" s="5"/>
    </row>
    <row r="475" spans="1:10" ht="14.1" customHeight="1" thickBot="1" x14ac:dyDescent="0.25">
      <c r="A475" s="83"/>
      <c r="B475" s="62" t="s">
        <v>1786</v>
      </c>
      <c r="C475" s="60">
        <f>IF(C474="","",IF(AND(MONTH(C474)&gt;=1,MONTH(C474)&lt;=3),1,IF(AND(MONTH(C474)&gt;=4,MONTH(C474)&lt;=6),2,IF(AND(MONTH(C474)&gt;=7,MONTH(C474)&lt;=9),3,4))))</f>
        <v>4</v>
      </c>
      <c r="D475" s="83"/>
      <c r="E475" s="62" t="s">
        <v>13191</v>
      </c>
      <c r="F475" s="61" t="s">
        <v>11111</v>
      </c>
      <c r="G475" s="5"/>
      <c r="H475" s="5"/>
      <c r="I475" s="5"/>
      <c r="J475" s="5"/>
    </row>
    <row r="476" spans="1:10" ht="14.1" customHeight="1" thickBot="1" x14ac:dyDescent="0.25">
      <c r="A476" s="5"/>
      <c r="B476" s="5"/>
      <c r="C476" s="5"/>
      <c r="D476" s="5"/>
      <c r="E476" s="5"/>
      <c r="F476" s="5"/>
      <c r="G476" s="5"/>
      <c r="H476" s="5"/>
      <c r="I476" s="5"/>
      <c r="J476" s="5"/>
    </row>
    <row r="477" spans="1:10" ht="14.1" customHeight="1" thickBot="1" x14ac:dyDescent="0.25">
      <c r="A477" s="67" t="s">
        <v>15735</v>
      </c>
      <c r="B477" s="67" t="s">
        <v>16146</v>
      </c>
      <c r="C477" s="67" t="s">
        <v>15641</v>
      </c>
      <c r="D477" s="67" t="s">
        <v>15251</v>
      </c>
      <c r="E477" s="67" t="s">
        <v>6932</v>
      </c>
      <c r="F477" s="67" t="s">
        <v>15280</v>
      </c>
      <c r="G477" s="5"/>
      <c r="H477" s="5"/>
      <c r="I477" s="5"/>
      <c r="J477" s="5"/>
    </row>
    <row r="478" spans="1:10" ht="27" customHeight="1" x14ac:dyDescent="0.2">
      <c r="A478" s="63">
        <v>80121601</v>
      </c>
      <c r="B478" s="64" t="str">
        <f ca="1">IFERROR(INDEX(UNSPSCDes,MATCH(INDIRECT(ADDRESS(ROW(),COLUMN()-1,4)),UNSPSCCode,0)),"")</f>
        <v>Servicios legales sobre competencia o regulaciones gubernamentales</v>
      </c>
      <c r="C478" s="63" t="s">
        <v>1449</v>
      </c>
      <c r="D478" s="63">
        <v>3</v>
      </c>
      <c r="E478" s="66">
        <v>3000</v>
      </c>
      <c r="F478" s="65">
        <f ca="1">INDIRECT(ADDRESS(ROW(),COLUMN()-2,4))*INDIRECT(ADDRESS(ROW(),COLUMN()-1,4))</f>
        <v>9000</v>
      </c>
      <c r="G478" s="5"/>
      <c r="H478" s="5"/>
      <c r="I478" s="5"/>
      <c r="J478" s="5"/>
    </row>
    <row r="479" spans="1:10" ht="14.1" customHeight="1" x14ac:dyDescent="0.2">
      <c r="A479" s="5"/>
      <c r="B479" s="5"/>
      <c r="C479" s="5"/>
      <c r="D479" s="5"/>
      <c r="E479" s="68" t="s">
        <v>12549</v>
      </c>
      <c r="F479" s="69">
        <f ca="1">SUM(Table345[MONTO TOTAL ESTIMADO])</f>
        <v>9000</v>
      </c>
      <c r="G479" s="5"/>
      <c r="H479" s="5" t="str">
        <f>C471</f>
        <v>Servicios</v>
      </c>
      <c r="I479" s="5" t="str">
        <f>E471</f>
        <v>Sí</v>
      </c>
      <c r="J479" s="5" t="str">
        <f>D471</f>
        <v>Compras por debajo del Umbral</v>
      </c>
    </row>
    <row r="480" spans="1:10" ht="14.1" customHeight="1" thickBot="1" x14ac:dyDescent="0.3"/>
    <row r="481" spans="1:10" ht="33.75" customHeight="1" thickBot="1" x14ac:dyDescent="0.25">
      <c r="A481" s="59" t="s">
        <v>16382</v>
      </c>
      <c r="B481" s="59" t="s">
        <v>161</v>
      </c>
      <c r="C481" s="59" t="s">
        <v>11723</v>
      </c>
      <c r="D481" s="59" t="s">
        <v>14377</v>
      </c>
      <c r="E481" s="59" t="s">
        <v>10961</v>
      </c>
      <c r="F481" s="59" t="s">
        <v>11094</v>
      </c>
      <c r="G481" s="5"/>
      <c r="H481" s="5"/>
      <c r="I481" s="5"/>
      <c r="J481" s="5"/>
    </row>
    <row r="482" spans="1:10" ht="14.1" customHeight="1" thickBot="1" x14ac:dyDescent="0.25">
      <c r="A482" s="61" t="s">
        <v>18857</v>
      </c>
      <c r="B482" s="61" t="s">
        <v>18858</v>
      </c>
      <c r="C482" s="61" t="s">
        <v>6798</v>
      </c>
      <c r="D482" s="61" t="s">
        <v>10170</v>
      </c>
      <c r="E482" s="61" t="s">
        <v>17854</v>
      </c>
      <c r="F482" s="61"/>
      <c r="G482" s="5"/>
      <c r="H482" s="5"/>
      <c r="I482" s="5"/>
      <c r="J482" s="5"/>
    </row>
    <row r="483" spans="1:10" ht="14.1" customHeight="1" thickBot="1" x14ac:dyDescent="0.25">
      <c r="A483" s="82" t="s">
        <v>14828</v>
      </c>
      <c r="B483" s="62" t="s">
        <v>8528</v>
      </c>
      <c r="C483" s="71">
        <v>44197</v>
      </c>
      <c r="D483" s="82" t="s">
        <v>9385</v>
      </c>
      <c r="E483" s="62" t="s">
        <v>13092</v>
      </c>
      <c r="F483" s="61" t="s">
        <v>3080</v>
      </c>
      <c r="G483" s="5"/>
      <c r="H483" s="5"/>
      <c r="I483" s="5"/>
      <c r="J483" s="5"/>
    </row>
    <row r="484" spans="1:10" ht="14.1" customHeight="1" thickBot="1" x14ac:dyDescent="0.25">
      <c r="A484" s="83"/>
      <c r="B484" s="62" t="s">
        <v>1786</v>
      </c>
      <c r="C484" s="60">
        <f>IF(C483="","",IF(AND(MONTH(C483)&gt;=1,MONTH(C483)&lt;=3),1,IF(AND(MONTH(C483)&gt;=4,MONTH(C483)&lt;=6),2,IF(AND(MONTH(C483)&gt;=7,MONTH(C483)&lt;=9),3,4))))</f>
        <v>1</v>
      </c>
      <c r="D484" s="83"/>
      <c r="E484" s="62" t="s">
        <v>2417</v>
      </c>
      <c r="F484" s="61" t="s">
        <v>11111</v>
      </c>
      <c r="G484" s="5"/>
      <c r="H484" s="5"/>
      <c r="I484" s="5"/>
      <c r="J484" s="5"/>
    </row>
    <row r="485" spans="1:10" ht="14.1" customHeight="1" thickBot="1" x14ac:dyDescent="0.25">
      <c r="A485" s="83"/>
      <c r="B485" s="62" t="s">
        <v>12941</v>
      </c>
      <c r="C485" s="71">
        <v>44198</v>
      </c>
      <c r="D485" s="83"/>
      <c r="E485" s="62" t="s">
        <v>3073</v>
      </c>
      <c r="F485" s="61" t="s">
        <v>11111</v>
      </c>
      <c r="G485" s="5"/>
      <c r="H485" s="5"/>
      <c r="I485" s="5"/>
      <c r="J485" s="5"/>
    </row>
    <row r="486" spans="1:10" ht="14.1" customHeight="1" thickBot="1" x14ac:dyDescent="0.25">
      <c r="A486" s="83"/>
      <c r="B486" s="62" t="s">
        <v>1786</v>
      </c>
      <c r="C486" s="60">
        <f>IF(C485="","",IF(AND(MONTH(C485)&gt;=1,MONTH(C485)&lt;=3),1,IF(AND(MONTH(C485)&gt;=4,MONTH(C485)&lt;=6),2,IF(AND(MONTH(C485)&gt;=7,MONTH(C485)&lt;=9),3,4))))</f>
        <v>1</v>
      </c>
      <c r="D486" s="83"/>
      <c r="E486" s="62" t="s">
        <v>13191</v>
      </c>
      <c r="F486" s="61"/>
      <c r="G486" s="5"/>
      <c r="H486" s="5"/>
      <c r="I486" s="5"/>
      <c r="J486" s="5"/>
    </row>
    <row r="487" spans="1:10" ht="14.1" customHeight="1" thickBot="1" x14ac:dyDescent="0.25">
      <c r="A487" s="5"/>
      <c r="B487" s="5"/>
      <c r="C487" s="5"/>
      <c r="D487" s="5"/>
      <c r="E487" s="5"/>
      <c r="F487" s="5"/>
      <c r="G487" s="5"/>
      <c r="H487" s="5"/>
      <c r="I487" s="5"/>
      <c r="J487" s="5"/>
    </row>
    <row r="488" spans="1:10" ht="14.1" customHeight="1" thickBot="1" x14ac:dyDescent="0.25">
      <c r="A488" s="67" t="s">
        <v>15735</v>
      </c>
      <c r="B488" s="67" t="s">
        <v>16146</v>
      </c>
      <c r="C488" s="67" t="s">
        <v>15641</v>
      </c>
      <c r="D488" s="67" t="s">
        <v>15251</v>
      </c>
      <c r="E488" s="67" t="s">
        <v>6932</v>
      </c>
      <c r="F488" s="67" t="s">
        <v>15280</v>
      </c>
      <c r="G488" s="5"/>
      <c r="H488" s="5"/>
      <c r="I488" s="5"/>
      <c r="J488" s="5"/>
    </row>
    <row r="489" spans="1:10" ht="13.5" customHeight="1" x14ac:dyDescent="0.2">
      <c r="A489" s="63">
        <v>93151608</v>
      </c>
      <c r="B489" s="64" t="str">
        <f ca="1">IFERROR(INDEX(UNSPSCDes,MATCH(INDIRECT(ADDRESS(ROW(),COLUMN()-1,4)),UNSPSCCode,0)),"")</f>
        <v>Servicios bancarios gubernamentales o centrales</v>
      </c>
      <c r="C489" s="63" t="s">
        <v>1449</v>
      </c>
      <c r="D489" s="63">
        <v>1</v>
      </c>
      <c r="E489" s="66">
        <v>6000</v>
      </c>
      <c r="F489" s="65">
        <f ca="1">INDIRECT(ADDRESS(ROW(),COLUMN()-2,4))*INDIRECT(ADDRESS(ROW(),COLUMN()-1,4))</f>
        <v>6000</v>
      </c>
      <c r="G489" s="5"/>
      <c r="H489" s="5"/>
      <c r="I489" s="5"/>
      <c r="J489" s="5"/>
    </row>
    <row r="490" spans="1:10" ht="14.1" customHeight="1" x14ac:dyDescent="0.2">
      <c r="A490" s="5"/>
      <c r="B490" s="5"/>
      <c r="C490" s="5"/>
      <c r="D490" s="5"/>
      <c r="E490" s="68" t="s">
        <v>12549</v>
      </c>
      <c r="F490" s="69">
        <f ca="1">SUM(Table346[MONTO TOTAL ESTIMADO])</f>
        <v>6000</v>
      </c>
      <c r="G490" s="5"/>
      <c r="H490" s="5" t="str">
        <f>C482</f>
        <v>Servicios</v>
      </c>
      <c r="I490" s="5" t="str">
        <f>E482</f>
        <v>No</v>
      </c>
      <c r="J490" s="5" t="str">
        <f>D482</f>
        <v>Compras por debajo del Umbral</v>
      </c>
    </row>
    <row r="491" spans="1:10" ht="14.1" customHeight="1" thickBot="1" x14ac:dyDescent="0.3"/>
    <row r="492" spans="1:10" ht="33.75" customHeight="1" thickBot="1" x14ac:dyDescent="0.25">
      <c r="A492" s="59" t="s">
        <v>16382</v>
      </c>
      <c r="B492" s="59" t="s">
        <v>161</v>
      </c>
      <c r="C492" s="59" t="s">
        <v>11723</v>
      </c>
      <c r="D492" s="59" t="s">
        <v>14377</v>
      </c>
      <c r="E492" s="59" t="s">
        <v>10961</v>
      </c>
      <c r="F492" s="59" t="s">
        <v>11094</v>
      </c>
      <c r="G492" s="5"/>
      <c r="H492" s="5"/>
      <c r="I492" s="5"/>
      <c r="J492" s="5"/>
    </row>
    <row r="493" spans="1:10" ht="14.1" customHeight="1" thickBot="1" x14ac:dyDescent="0.25">
      <c r="A493" s="61" t="s">
        <v>18857</v>
      </c>
      <c r="B493" s="61" t="s">
        <v>18858</v>
      </c>
      <c r="C493" s="61" t="s">
        <v>6798</v>
      </c>
      <c r="D493" s="61" t="s">
        <v>10170</v>
      </c>
      <c r="E493" s="61" t="s">
        <v>17854</v>
      </c>
      <c r="F493" s="61"/>
      <c r="G493" s="5"/>
      <c r="H493" s="5"/>
      <c r="I493" s="5"/>
      <c r="J493" s="5"/>
    </row>
    <row r="494" spans="1:10" ht="14.1" customHeight="1" thickBot="1" x14ac:dyDescent="0.25">
      <c r="A494" s="82" t="s">
        <v>14828</v>
      </c>
      <c r="B494" s="62" t="s">
        <v>8528</v>
      </c>
      <c r="C494" s="71">
        <v>44287</v>
      </c>
      <c r="D494" s="82" t="s">
        <v>9385</v>
      </c>
      <c r="E494" s="62" t="s">
        <v>13092</v>
      </c>
      <c r="F494" s="61" t="s">
        <v>3080</v>
      </c>
      <c r="G494" s="5"/>
      <c r="H494" s="5"/>
      <c r="I494" s="5"/>
      <c r="J494" s="5"/>
    </row>
    <row r="495" spans="1:10" ht="14.1" customHeight="1" thickBot="1" x14ac:dyDescent="0.25">
      <c r="A495" s="83"/>
      <c r="B495" s="62" t="s">
        <v>1786</v>
      </c>
      <c r="C495" s="60">
        <f>IF(C494="","",IF(AND(MONTH(C494)&gt;=1,MONTH(C494)&lt;=3),1,IF(AND(MONTH(C494)&gt;=4,MONTH(C494)&lt;=6),2,IF(AND(MONTH(C494)&gt;=7,MONTH(C494)&lt;=9),3,4))))</f>
        <v>2</v>
      </c>
      <c r="D495" s="83"/>
      <c r="E495" s="62" t="s">
        <v>2417</v>
      </c>
      <c r="F495" s="61" t="s">
        <v>11111</v>
      </c>
      <c r="G495" s="5"/>
      <c r="H495" s="5"/>
      <c r="I495" s="5"/>
      <c r="J495" s="5"/>
    </row>
    <row r="496" spans="1:10" ht="14.1" customHeight="1" thickBot="1" x14ac:dyDescent="0.25">
      <c r="A496" s="83"/>
      <c r="B496" s="62" t="s">
        <v>12941</v>
      </c>
      <c r="C496" s="71">
        <v>44288</v>
      </c>
      <c r="D496" s="83"/>
      <c r="E496" s="62" t="s">
        <v>3073</v>
      </c>
      <c r="F496" s="61" t="s">
        <v>11111</v>
      </c>
      <c r="G496" s="5"/>
      <c r="H496" s="5"/>
      <c r="I496" s="5"/>
      <c r="J496" s="5"/>
    </row>
    <row r="497" spans="1:10" ht="14.1" customHeight="1" thickBot="1" x14ac:dyDescent="0.25">
      <c r="A497" s="83"/>
      <c r="B497" s="62" t="s">
        <v>1786</v>
      </c>
      <c r="C497" s="60">
        <f>IF(C496="","",IF(AND(MONTH(C496)&gt;=1,MONTH(C496)&lt;=3),1,IF(AND(MONTH(C496)&gt;=4,MONTH(C496)&lt;=6),2,IF(AND(MONTH(C496)&gt;=7,MONTH(C496)&lt;=9),3,4))))</f>
        <v>2</v>
      </c>
      <c r="D497" s="83"/>
      <c r="E497" s="62" t="s">
        <v>13191</v>
      </c>
      <c r="F497" s="61" t="s">
        <v>11111</v>
      </c>
      <c r="G497" s="5"/>
      <c r="H497" s="5"/>
      <c r="I497" s="5"/>
      <c r="J497" s="5"/>
    </row>
    <row r="498" spans="1:10" ht="14.1" customHeight="1" thickBot="1" x14ac:dyDescent="0.25">
      <c r="A498" s="5"/>
      <c r="B498" s="5"/>
      <c r="C498" s="5"/>
      <c r="D498" s="5"/>
      <c r="E498" s="5"/>
      <c r="F498" s="5"/>
      <c r="G498" s="5"/>
      <c r="H498" s="5"/>
      <c r="I498" s="5"/>
      <c r="J498" s="5"/>
    </row>
    <row r="499" spans="1:10" ht="14.1" customHeight="1" thickBot="1" x14ac:dyDescent="0.25">
      <c r="A499" s="67" t="s">
        <v>15735</v>
      </c>
      <c r="B499" s="67" t="s">
        <v>16146</v>
      </c>
      <c r="C499" s="67" t="s">
        <v>15641</v>
      </c>
      <c r="D499" s="67" t="s">
        <v>15251</v>
      </c>
      <c r="E499" s="67" t="s">
        <v>6932</v>
      </c>
      <c r="F499" s="67" t="s">
        <v>15280</v>
      </c>
      <c r="G499" s="5"/>
      <c r="H499" s="5"/>
      <c r="I499" s="5"/>
      <c r="J499" s="5"/>
    </row>
    <row r="500" spans="1:10" ht="13.5" customHeight="1" x14ac:dyDescent="0.2">
      <c r="A500" s="63">
        <v>93151608</v>
      </c>
      <c r="B500" s="64" t="str">
        <f ca="1">IFERROR(INDEX(UNSPSCDes,MATCH(INDIRECT(ADDRESS(ROW(),COLUMN()-1,4)),UNSPSCCode,0)),"")</f>
        <v>Servicios bancarios gubernamentales o centrales</v>
      </c>
      <c r="C500" s="63" t="s">
        <v>1449</v>
      </c>
      <c r="D500" s="63">
        <v>1</v>
      </c>
      <c r="E500" s="66">
        <v>6000</v>
      </c>
      <c r="F500" s="65">
        <f ca="1">INDIRECT(ADDRESS(ROW(),COLUMN()-2,4))*INDIRECT(ADDRESS(ROW(),COLUMN()-1,4))</f>
        <v>6000</v>
      </c>
      <c r="G500" s="5"/>
      <c r="H500" s="5"/>
      <c r="I500" s="5"/>
      <c r="J500" s="5"/>
    </row>
    <row r="501" spans="1:10" ht="14.1" customHeight="1" x14ac:dyDescent="0.2">
      <c r="A501" s="5"/>
      <c r="B501" s="5"/>
      <c r="C501" s="5"/>
      <c r="D501" s="5"/>
      <c r="E501" s="68" t="s">
        <v>12549</v>
      </c>
      <c r="F501" s="69">
        <f ca="1">SUM(Table347[MONTO TOTAL ESTIMADO])</f>
        <v>6000</v>
      </c>
      <c r="G501" s="5"/>
      <c r="H501" s="5" t="str">
        <f>C493</f>
        <v>Servicios</v>
      </c>
      <c r="I501" s="5" t="str">
        <f>E493</f>
        <v>No</v>
      </c>
      <c r="J501" s="5" t="str">
        <f>D493</f>
        <v>Compras por debajo del Umbral</v>
      </c>
    </row>
    <row r="502" spans="1:10" ht="14.1" customHeight="1" thickBot="1" x14ac:dyDescent="0.3"/>
    <row r="503" spans="1:10" ht="33.75" customHeight="1" thickBot="1" x14ac:dyDescent="0.25">
      <c r="A503" s="59" t="s">
        <v>16382</v>
      </c>
      <c r="B503" s="59" t="s">
        <v>161</v>
      </c>
      <c r="C503" s="59" t="s">
        <v>11723</v>
      </c>
      <c r="D503" s="59" t="s">
        <v>14377</v>
      </c>
      <c r="E503" s="59" t="s">
        <v>10961</v>
      </c>
      <c r="F503" s="59" t="s">
        <v>11094</v>
      </c>
      <c r="G503" s="5"/>
      <c r="H503" s="5"/>
      <c r="I503" s="5"/>
      <c r="J503" s="5"/>
    </row>
    <row r="504" spans="1:10" ht="14.1" customHeight="1" thickBot="1" x14ac:dyDescent="0.25">
      <c r="A504" s="61" t="s">
        <v>18857</v>
      </c>
      <c r="B504" s="61" t="s">
        <v>18858</v>
      </c>
      <c r="C504" s="61" t="s">
        <v>6798</v>
      </c>
      <c r="D504" s="61" t="s">
        <v>10170</v>
      </c>
      <c r="E504" s="61" t="s">
        <v>17854</v>
      </c>
      <c r="F504" s="61"/>
      <c r="G504" s="5"/>
      <c r="H504" s="5"/>
      <c r="I504" s="5"/>
      <c r="J504" s="5"/>
    </row>
    <row r="505" spans="1:10" ht="14.1" customHeight="1" thickBot="1" x14ac:dyDescent="0.25">
      <c r="A505" s="82" t="s">
        <v>14828</v>
      </c>
      <c r="B505" s="62" t="s">
        <v>8528</v>
      </c>
      <c r="C505" s="71">
        <v>44378</v>
      </c>
      <c r="D505" s="82" t="s">
        <v>9385</v>
      </c>
      <c r="E505" s="62" t="s">
        <v>13092</v>
      </c>
      <c r="F505" s="61" t="s">
        <v>3080</v>
      </c>
      <c r="G505" s="5"/>
      <c r="H505" s="5"/>
      <c r="I505" s="5"/>
      <c r="J505" s="5"/>
    </row>
    <row r="506" spans="1:10" ht="14.1" customHeight="1" thickBot="1" x14ac:dyDescent="0.25">
      <c r="A506" s="83"/>
      <c r="B506" s="62" t="s">
        <v>1786</v>
      </c>
      <c r="C506" s="60">
        <f>IF(C505="","",IF(AND(MONTH(C505)&gt;=1,MONTH(C505)&lt;=3),1,IF(AND(MONTH(C505)&gt;=4,MONTH(C505)&lt;=6),2,IF(AND(MONTH(C505)&gt;=7,MONTH(C505)&lt;=9),3,4))))</f>
        <v>3</v>
      </c>
      <c r="D506" s="83"/>
      <c r="E506" s="62" t="s">
        <v>2417</v>
      </c>
      <c r="F506" s="61" t="s">
        <v>11111</v>
      </c>
      <c r="G506" s="5"/>
      <c r="H506" s="5"/>
      <c r="I506" s="5"/>
      <c r="J506" s="5"/>
    </row>
    <row r="507" spans="1:10" ht="14.1" customHeight="1" thickBot="1" x14ac:dyDescent="0.25">
      <c r="A507" s="83"/>
      <c r="B507" s="62" t="s">
        <v>12941</v>
      </c>
      <c r="C507" s="71">
        <v>44379</v>
      </c>
      <c r="D507" s="83"/>
      <c r="E507" s="62" t="s">
        <v>3073</v>
      </c>
      <c r="F507" s="61" t="s">
        <v>11111</v>
      </c>
      <c r="G507" s="5"/>
      <c r="H507" s="5"/>
      <c r="I507" s="5"/>
      <c r="J507" s="5"/>
    </row>
    <row r="508" spans="1:10" ht="14.1" customHeight="1" thickBot="1" x14ac:dyDescent="0.25">
      <c r="A508" s="83"/>
      <c r="B508" s="62" t="s">
        <v>1786</v>
      </c>
      <c r="C508" s="60">
        <f>IF(C507="","",IF(AND(MONTH(C507)&gt;=1,MONTH(C507)&lt;=3),1,IF(AND(MONTH(C507)&gt;=4,MONTH(C507)&lt;=6),2,IF(AND(MONTH(C507)&gt;=7,MONTH(C507)&lt;=9),3,4))))</f>
        <v>3</v>
      </c>
      <c r="D508" s="83"/>
      <c r="E508" s="62" t="s">
        <v>13191</v>
      </c>
      <c r="F508" s="61" t="s">
        <v>11111</v>
      </c>
      <c r="G508" s="5"/>
      <c r="H508" s="5"/>
      <c r="I508" s="5"/>
      <c r="J508" s="5"/>
    </row>
    <row r="509" spans="1:10" ht="14.1" customHeight="1" thickBot="1" x14ac:dyDescent="0.25">
      <c r="A509" s="5"/>
      <c r="B509" s="5"/>
      <c r="C509" s="5"/>
      <c r="D509" s="5"/>
      <c r="E509" s="5"/>
      <c r="F509" s="5"/>
      <c r="G509" s="5"/>
      <c r="H509" s="5"/>
      <c r="I509" s="5"/>
      <c r="J509" s="5"/>
    </row>
    <row r="510" spans="1:10" ht="14.1" customHeight="1" thickBot="1" x14ac:dyDescent="0.25">
      <c r="A510" s="67" t="s">
        <v>15735</v>
      </c>
      <c r="B510" s="67" t="s">
        <v>16146</v>
      </c>
      <c r="C510" s="67" t="s">
        <v>15641</v>
      </c>
      <c r="D510" s="67" t="s">
        <v>15251</v>
      </c>
      <c r="E510" s="67" t="s">
        <v>6932</v>
      </c>
      <c r="F510" s="67" t="s">
        <v>15280</v>
      </c>
      <c r="G510" s="5"/>
      <c r="H510" s="5"/>
      <c r="I510" s="5"/>
      <c r="J510" s="5"/>
    </row>
    <row r="511" spans="1:10" ht="13.5" customHeight="1" x14ac:dyDescent="0.2">
      <c r="A511" s="63">
        <v>93151608</v>
      </c>
      <c r="B511" s="64" t="str">
        <f ca="1">IFERROR(INDEX(UNSPSCDes,MATCH(INDIRECT(ADDRESS(ROW(),COLUMN()-1,4)),UNSPSCCode,0)),"")</f>
        <v>Servicios bancarios gubernamentales o centrales</v>
      </c>
      <c r="C511" s="63" t="s">
        <v>1449</v>
      </c>
      <c r="D511" s="63">
        <v>1</v>
      </c>
      <c r="E511" s="66">
        <v>6000</v>
      </c>
      <c r="F511" s="65">
        <f ca="1">INDIRECT(ADDRESS(ROW(),COLUMN()-2,4))*INDIRECT(ADDRESS(ROW(),COLUMN()-1,4))</f>
        <v>6000</v>
      </c>
      <c r="G511" s="5"/>
      <c r="H511" s="5"/>
      <c r="I511" s="5"/>
      <c r="J511" s="5"/>
    </row>
    <row r="512" spans="1:10" ht="14.1" customHeight="1" x14ac:dyDescent="0.2">
      <c r="A512" s="5"/>
      <c r="B512" s="5"/>
      <c r="C512" s="5"/>
      <c r="D512" s="5"/>
      <c r="E512" s="68" t="s">
        <v>12549</v>
      </c>
      <c r="F512" s="69">
        <f ca="1">SUM(Table348[MONTO TOTAL ESTIMADO])</f>
        <v>6000</v>
      </c>
      <c r="G512" s="5"/>
      <c r="H512" s="5" t="str">
        <f>C504</f>
        <v>Servicios</v>
      </c>
      <c r="I512" s="5" t="str">
        <f>E504</f>
        <v>No</v>
      </c>
      <c r="J512" s="5" t="str">
        <f>D504</f>
        <v>Compras por debajo del Umbral</v>
      </c>
    </row>
    <row r="513" spans="1:10" ht="14.1" customHeight="1" thickBot="1" x14ac:dyDescent="0.3"/>
    <row r="514" spans="1:10" ht="33.75" customHeight="1" thickBot="1" x14ac:dyDescent="0.25">
      <c r="A514" s="59" t="s">
        <v>16382</v>
      </c>
      <c r="B514" s="59" t="s">
        <v>161</v>
      </c>
      <c r="C514" s="59" t="s">
        <v>11723</v>
      </c>
      <c r="D514" s="59" t="s">
        <v>14377</v>
      </c>
      <c r="E514" s="59" t="s">
        <v>10961</v>
      </c>
      <c r="F514" s="59" t="s">
        <v>11094</v>
      </c>
      <c r="G514" s="5"/>
      <c r="H514" s="5"/>
      <c r="I514" s="5"/>
      <c r="J514" s="5"/>
    </row>
    <row r="515" spans="1:10" ht="14.1" customHeight="1" thickBot="1" x14ac:dyDescent="0.25">
      <c r="A515" s="61" t="s">
        <v>18857</v>
      </c>
      <c r="B515" s="61" t="s">
        <v>18858</v>
      </c>
      <c r="C515" s="61" t="s">
        <v>6798</v>
      </c>
      <c r="D515" s="61" t="s">
        <v>10170</v>
      </c>
      <c r="E515" s="61" t="s">
        <v>17854</v>
      </c>
      <c r="F515" s="61"/>
      <c r="G515" s="5"/>
      <c r="H515" s="5"/>
      <c r="I515" s="5"/>
      <c r="J515" s="5"/>
    </row>
    <row r="516" spans="1:10" ht="14.1" customHeight="1" thickBot="1" x14ac:dyDescent="0.25">
      <c r="A516" s="82" t="s">
        <v>14828</v>
      </c>
      <c r="B516" s="62" t="s">
        <v>8528</v>
      </c>
      <c r="C516" s="71">
        <v>44470</v>
      </c>
      <c r="D516" s="82" t="s">
        <v>9385</v>
      </c>
      <c r="E516" s="62" t="s">
        <v>13092</v>
      </c>
      <c r="F516" s="61" t="s">
        <v>3080</v>
      </c>
      <c r="G516" s="5"/>
      <c r="H516" s="5"/>
      <c r="I516" s="5"/>
      <c r="J516" s="5"/>
    </row>
    <row r="517" spans="1:10" ht="14.1" customHeight="1" thickBot="1" x14ac:dyDescent="0.25">
      <c r="A517" s="83"/>
      <c r="B517" s="62" t="s">
        <v>1786</v>
      </c>
      <c r="C517" s="60">
        <f>IF(C516="","",IF(AND(MONTH(C516)&gt;=1,MONTH(C516)&lt;=3),1,IF(AND(MONTH(C516)&gt;=4,MONTH(C516)&lt;=6),2,IF(AND(MONTH(C516)&gt;=7,MONTH(C516)&lt;=9),3,4))))</f>
        <v>4</v>
      </c>
      <c r="D517" s="83"/>
      <c r="E517" s="62" t="s">
        <v>2417</v>
      </c>
      <c r="F517" s="61" t="s">
        <v>11111</v>
      </c>
      <c r="G517" s="5"/>
      <c r="H517" s="5"/>
      <c r="I517" s="5"/>
      <c r="J517" s="5"/>
    </row>
    <row r="518" spans="1:10" ht="14.1" customHeight="1" thickBot="1" x14ac:dyDescent="0.25">
      <c r="A518" s="83"/>
      <c r="B518" s="62" t="s">
        <v>12941</v>
      </c>
      <c r="C518" s="71">
        <v>44473</v>
      </c>
      <c r="D518" s="83"/>
      <c r="E518" s="62" t="s">
        <v>3073</v>
      </c>
      <c r="F518" s="61" t="s">
        <v>11111</v>
      </c>
      <c r="G518" s="5"/>
      <c r="H518" s="5"/>
      <c r="I518" s="5"/>
      <c r="J518" s="5"/>
    </row>
    <row r="519" spans="1:10" ht="14.1" customHeight="1" thickBot="1" x14ac:dyDescent="0.25">
      <c r="A519" s="83"/>
      <c r="B519" s="62" t="s">
        <v>1786</v>
      </c>
      <c r="C519" s="60">
        <f>IF(C518="","",IF(AND(MONTH(C518)&gt;=1,MONTH(C518)&lt;=3),1,IF(AND(MONTH(C518)&gt;=4,MONTH(C518)&lt;=6),2,IF(AND(MONTH(C518)&gt;=7,MONTH(C518)&lt;=9),3,4))))</f>
        <v>4</v>
      </c>
      <c r="D519" s="83"/>
      <c r="E519" s="62" t="s">
        <v>13191</v>
      </c>
      <c r="F519" s="61" t="s">
        <v>11111</v>
      </c>
      <c r="G519" s="5"/>
      <c r="H519" s="5"/>
      <c r="I519" s="5"/>
      <c r="J519" s="5"/>
    </row>
    <row r="520" spans="1:10" ht="14.1" customHeight="1" thickBot="1" x14ac:dyDescent="0.25">
      <c r="A520" s="5"/>
      <c r="B520" s="5"/>
      <c r="C520" s="5"/>
      <c r="D520" s="5"/>
      <c r="E520" s="5"/>
      <c r="F520" s="5"/>
      <c r="G520" s="5"/>
      <c r="H520" s="5"/>
      <c r="I520" s="5"/>
      <c r="J520" s="5"/>
    </row>
    <row r="521" spans="1:10" ht="14.1" customHeight="1" thickBot="1" x14ac:dyDescent="0.25">
      <c r="A521" s="67" t="s">
        <v>15735</v>
      </c>
      <c r="B521" s="67" t="s">
        <v>16146</v>
      </c>
      <c r="C521" s="67" t="s">
        <v>15641</v>
      </c>
      <c r="D521" s="67" t="s">
        <v>15251</v>
      </c>
      <c r="E521" s="67" t="s">
        <v>6932</v>
      </c>
      <c r="F521" s="67" t="s">
        <v>15280</v>
      </c>
      <c r="G521" s="5"/>
      <c r="H521" s="5"/>
      <c r="I521" s="5"/>
      <c r="J521" s="5"/>
    </row>
    <row r="522" spans="1:10" ht="13.5" customHeight="1" x14ac:dyDescent="0.2">
      <c r="A522" s="63">
        <v>93151608</v>
      </c>
      <c r="B522" s="64" t="str">
        <f ca="1">IFERROR(INDEX(UNSPSCDes,MATCH(INDIRECT(ADDRESS(ROW(),COLUMN()-1,4)),UNSPSCCode,0)),"")</f>
        <v>Servicios bancarios gubernamentales o centrales</v>
      </c>
      <c r="C522" s="63" t="s">
        <v>1449</v>
      </c>
      <c r="D522" s="63">
        <v>1</v>
      </c>
      <c r="E522" s="66">
        <v>6000</v>
      </c>
      <c r="F522" s="65">
        <f ca="1">INDIRECT(ADDRESS(ROW(),COLUMN()-2,4))*INDIRECT(ADDRESS(ROW(),COLUMN()-1,4))</f>
        <v>6000</v>
      </c>
      <c r="G522" s="5"/>
      <c r="H522" s="5"/>
      <c r="I522" s="5"/>
      <c r="J522" s="5"/>
    </row>
    <row r="523" spans="1:10" ht="14.1" customHeight="1" x14ac:dyDescent="0.2">
      <c r="A523" s="5"/>
      <c r="B523" s="5"/>
      <c r="C523" s="5"/>
      <c r="D523" s="5"/>
      <c r="E523" s="68" t="s">
        <v>12549</v>
      </c>
      <c r="F523" s="69">
        <f ca="1">SUM(Table349[MONTO TOTAL ESTIMADO])</f>
        <v>6000</v>
      </c>
      <c r="G523" s="5"/>
      <c r="H523" s="5" t="str">
        <f>C515</f>
        <v>Servicios</v>
      </c>
      <c r="I523" s="5" t="str">
        <f>E515</f>
        <v>No</v>
      </c>
      <c r="J523" s="5" t="str">
        <f>D515</f>
        <v>Compras por debajo del Umbral</v>
      </c>
    </row>
    <row r="524" spans="1:10" ht="14.1" customHeight="1" thickBot="1" x14ac:dyDescent="0.3"/>
    <row r="525" spans="1:10" ht="33.75" customHeight="1" thickBot="1" x14ac:dyDescent="0.25">
      <c r="A525" s="59" t="s">
        <v>16382</v>
      </c>
      <c r="B525" s="59" t="s">
        <v>161</v>
      </c>
      <c r="C525" s="59" t="s">
        <v>11723</v>
      </c>
      <c r="D525" s="59" t="s">
        <v>14377</v>
      </c>
      <c r="E525" s="59" t="s">
        <v>10961</v>
      </c>
      <c r="F525" s="59" t="s">
        <v>11094</v>
      </c>
      <c r="G525" s="5"/>
      <c r="H525" s="5"/>
      <c r="I525" s="5"/>
      <c r="J525" s="5"/>
    </row>
    <row r="526" spans="1:10" ht="14.1" customHeight="1" thickBot="1" x14ac:dyDescent="0.25">
      <c r="A526" s="61" t="s">
        <v>18859</v>
      </c>
      <c r="B526" s="61" t="s">
        <v>18859</v>
      </c>
      <c r="C526" s="61" t="s">
        <v>6798</v>
      </c>
      <c r="D526" s="61" t="s">
        <v>10170</v>
      </c>
      <c r="E526" s="61" t="s">
        <v>8854</v>
      </c>
      <c r="F526" s="61"/>
      <c r="G526" s="5"/>
      <c r="H526" s="5"/>
      <c r="I526" s="5"/>
      <c r="J526" s="5"/>
    </row>
    <row r="527" spans="1:10" ht="14.1" customHeight="1" thickBot="1" x14ac:dyDescent="0.25">
      <c r="A527" s="82" t="s">
        <v>14828</v>
      </c>
      <c r="B527" s="62" t="s">
        <v>8528</v>
      </c>
      <c r="C527" s="71">
        <v>44470</v>
      </c>
      <c r="D527" s="82" t="s">
        <v>9385</v>
      </c>
      <c r="E527" s="62" t="s">
        <v>13092</v>
      </c>
      <c r="F527" s="61" t="s">
        <v>3080</v>
      </c>
      <c r="G527" s="5"/>
      <c r="H527" s="5"/>
      <c r="I527" s="5"/>
      <c r="J527" s="5"/>
    </row>
    <row r="528" spans="1:10" ht="14.1" customHeight="1" thickBot="1" x14ac:dyDescent="0.25">
      <c r="A528" s="83"/>
      <c r="B528" s="62" t="s">
        <v>1786</v>
      </c>
      <c r="C528" s="60">
        <f>IF(C527="","",IF(AND(MONTH(C527)&gt;=1,MONTH(C527)&lt;=3),1,IF(AND(MONTH(C527)&gt;=4,MONTH(C527)&lt;=6),2,IF(AND(MONTH(C527)&gt;=7,MONTH(C527)&lt;=9),3,4))))</f>
        <v>4</v>
      </c>
      <c r="D528" s="83"/>
      <c r="E528" s="62" t="s">
        <v>2417</v>
      </c>
      <c r="F528" s="61" t="s">
        <v>11111</v>
      </c>
      <c r="G528" s="5"/>
      <c r="H528" s="5"/>
      <c r="I528" s="5"/>
      <c r="J528" s="5"/>
    </row>
    <row r="529" spans="1:10" ht="14.1" customHeight="1" thickBot="1" x14ac:dyDescent="0.25">
      <c r="A529" s="83"/>
      <c r="B529" s="62" t="s">
        <v>12941</v>
      </c>
      <c r="C529" s="71">
        <v>44473</v>
      </c>
      <c r="D529" s="83"/>
      <c r="E529" s="62" t="s">
        <v>3073</v>
      </c>
      <c r="F529" s="61" t="s">
        <v>11111</v>
      </c>
      <c r="G529" s="5"/>
      <c r="H529" s="5"/>
      <c r="I529" s="5"/>
      <c r="J529" s="5"/>
    </row>
    <row r="530" spans="1:10" ht="14.1" customHeight="1" thickBot="1" x14ac:dyDescent="0.25">
      <c r="A530" s="83"/>
      <c r="B530" s="62" t="s">
        <v>1786</v>
      </c>
      <c r="C530" s="60">
        <f>IF(C529="","",IF(AND(MONTH(C529)&gt;=1,MONTH(C529)&lt;=3),1,IF(AND(MONTH(C529)&gt;=4,MONTH(C529)&lt;=6),2,IF(AND(MONTH(C529)&gt;=7,MONTH(C529)&lt;=9),3,4))))</f>
        <v>4</v>
      </c>
      <c r="D530" s="83"/>
      <c r="E530" s="62" t="s">
        <v>13191</v>
      </c>
      <c r="F530" s="61" t="s">
        <v>11111</v>
      </c>
      <c r="G530" s="5"/>
      <c r="H530" s="5"/>
      <c r="I530" s="5"/>
      <c r="J530" s="5"/>
    </row>
    <row r="531" spans="1:10" ht="14.1" customHeight="1" thickBot="1" x14ac:dyDescent="0.25">
      <c r="A531" s="5"/>
      <c r="B531" s="5"/>
      <c r="C531" s="5"/>
      <c r="D531" s="5"/>
      <c r="E531" s="5"/>
      <c r="F531" s="5"/>
      <c r="G531" s="5"/>
      <c r="H531" s="5"/>
      <c r="I531" s="5"/>
      <c r="J531" s="5"/>
    </row>
    <row r="532" spans="1:10" ht="14.1" customHeight="1" thickBot="1" x14ac:dyDescent="0.25">
      <c r="A532" s="67" t="s">
        <v>15735</v>
      </c>
      <c r="B532" s="67" t="s">
        <v>16146</v>
      </c>
      <c r="C532" s="67" t="s">
        <v>15641</v>
      </c>
      <c r="D532" s="67" t="s">
        <v>15251</v>
      </c>
      <c r="E532" s="67" t="s">
        <v>6932</v>
      </c>
      <c r="F532" s="67" t="s">
        <v>15280</v>
      </c>
      <c r="G532" s="5"/>
      <c r="H532" s="5"/>
      <c r="I532" s="5"/>
      <c r="J532" s="5"/>
    </row>
    <row r="533" spans="1:10" ht="13.5" customHeight="1" x14ac:dyDescent="0.2">
      <c r="A533" s="63">
        <v>72102103</v>
      </c>
      <c r="B533" s="64" t="str">
        <f ca="1">IFERROR(INDEX(UNSPSCDes,MATCH(INDIRECT(ADDRESS(ROW(),COLUMN()-1,4)),UNSPSCCode,0)),"")</f>
        <v>Servicios de exterminación o fumigación</v>
      </c>
      <c r="C533" s="63" t="s">
        <v>1449</v>
      </c>
      <c r="D533" s="63">
        <v>1</v>
      </c>
      <c r="E533" s="66">
        <v>50000</v>
      </c>
      <c r="F533" s="65">
        <f ca="1">INDIRECT(ADDRESS(ROW(),COLUMN()-2,4))*INDIRECT(ADDRESS(ROW(),COLUMN()-1,4))</f>
        <v>50000</v>
      </c>
      <c r="G533" s="5"/>
      <c r="H533" s="5"/>
      <c r="I533" s="5"/>
      <c r="J533" s="5"/>
    </row>
    <row r="534" spans="1:10" ht="14.1" customHeight="1" x14ac:dyDescent="0.2">
      <c r="A534" s="5"/>
      <c r="B534" s="5"/>
      <c r="C534" s="5"/>
      <c r="D534" s="5"/>
      <c r="E534" s="68" t="s">
        <v>12549</v>
      </c>
      <c r="F534" s="69">
        <f ca="1">SUM(Table350[MONTO TOTAL ESTIMADO])</f>
        <v>50000</v>
      </c>
      <c r="G534" s="5"/>
      <c r="H534" s="5" t="str">
        <f>C526</f>
        <v>Servicios</v>
      </c>
      <c r="I534" s="5" t="str">
        <f>E526</f>
        <v>Sí</v>
      </c>
      <c r="J534" s="5" t="str">
        <f>D526</f>
        <v>Compras por debajo del Umbral</v>
      </c>
    </row>
    <row r="535" spans="1:10" ht="14.1" customHeight="1" thickBot="1" x14ac:dyDescent="0.3"/>
    <row r="536" spans="1:10" ht="33.75" customHeight="1" thickBot="1" x14ac:dyDescent="0.25">
      <c r="A536" s="59" t="s">
        <v>16382</v>
      </c>
      <c r="B536" s="59" t="s">
        <v>161</v>
      </c>
      <c r="C536" s="59" t="s">
        <v>11723</v>
      </c>
      <c r="D536" s="59" t="s">
        <v>14377</v>
      </c>
      <c r="E536" s="59" t="s">
        <v>10961</v>
      </c>
      <c r="F536" s="59" t="s">
        <v>11094</v>
      </c>
      <c r="G536" s="5"/>
      <c r="H536" s="5"/>
      <c r="I536" s="5"/>
      <c r="J536" s="5"/>
    </row>
    <row r="537" spans="1:10" ht="14.1" customHeight="1" thickBot="1" x14ac:dyDescent="0.25">
      <c r="A537" s="61" t="s">
        <v>18860</v>
      </c>
      <c r="B537" s="61" t="s">
        <v>18860</v>
      </c>
      <c r="C537" s="61" t="s">
        <v>6798</v>
      </c>
      <c r="D537" s="61" t="s">
        <v>10170</v>
      </c>
      <c r="E537" s="61" t="s">
        <v>8854</v>
      </c>
      <c r="F537" s="61"/>
      <c r="G537" s="5"/>
      <c r="H537" s="5"/>
      <c r="I537" s="5"/>
      <c r="J537" s="5"/>
    </row>
    <row r="538" spans="1:10" ht="14.1" customHeight="1" thickBot="1" x14ac:dyDescent="0.25">
      <c r="A538" s="82" t="s">
        <v>14828</v>
      </c>
      <c r="B538" s="62" t="s">
        <v>8528</v>
      </c>
      <c r="C538" s="71">
        <v>44197</v>
      </c>
      <c r="D538" s="82" t="s">
        <v>9385</v>
      </c>
      <c r="E538" s="62" t="s">
        <v>13092</v>
      </c>
      <c r="F538" s="61" t="s">
        <v>3080</v>
      </c>
      <c r="G538" s="5"/>
      <c r="H538" s="5"/>
      <c r="I538" s="5"/>
      <c r="J538" s="5"/>
    </row>
    <row r="539" spans="1:10" ht="14.1" customHeight="1" thickBot="1" x14ac:dyDescent="0.25">
      <c r="A539" s="83"/>
      <c r="B539" s="62" t="s">
        <v>1786</v>
      </c>
      <c r="C539" s="60">
        <f>IF(C538="","",IF(AND(MONTH(C538)&gt;=1,MONTH(C538)&lt;=3),1,IF(AND(MONTH(C538)&gt;=4,MONTH(C538)&lt;=6),2,IF(AND(MONTH(C538)&gt;=7,MONTH(C538)&lt;=9),3,4))))</f>
        <v>1</v>
      </c>
      <c r="D539" s="83"/>
      <c r="E539" s="62" t="s">
        <v>2417</v>
      </c>
      <c r="F539" s="61" t="s">
        <v>11111</v>
      </c>
      <c r="G539" s="5"/>
      <c r="H539" s="5"/>
      <c r="I539" s="5"/>
      <c r="J539" s="5"/>
    </row>
    <row r="540" spans="1:10" ht="14.1" customHeight="1" thickBot="1" x14ac:dyDescent="0.25">
      <c r="A540" s="83"/>
      <c r="B540" s="62" t="s">
        <v>12941</v>
      </c>
      <c r="C540" s="71">
        <v>44198</v>
      </c>
      <c r="D540" s="83"/>
      <c r="E540" s="62" t="s">
        <v>3073</v>
      </c>
      <c r="F540" s="61" t="s">
        <v>11111</v>
      </c>
      <c r="G540" s="5"/>
      <c r="H540" s="5"/>
      <c r="I540" s="5"/>
      <c r="J540" s="5"/>
    </row>
    <row r="541" spans="1:10" ht="14.1" customHeight="1" thickBot="1" x14ac:dyDescent="0.25">
      <c r="A541" s="83"/>
      <c r="B541" s="62" t="s">
        <v>1786</v>
      </c>
      <c r="C541" s="60">
        <f>IF(C540="","",IF(AND(MONTH(C540)&gt;=1,MONTH(C540)&lt;=3),1,IF(AND(MONTH(C540)&gt;=4,MONTH(C540)&lt;=6),2,IF(AND(MONTH(C540)&gt;=7,MONTH(C540)&lt;=9),3,4))))</f>
        <v>1</v>
      </c>
      <c r="D541" s="83"/>
      <c r="E541" s="62" t="s">
        <v>13191</v>
      </c>
      <c r="F541" s="61" t="s">
        <v>11111</v>
      </c>
      <c r="G541" s="5"/>
      <c r="H541" s="5"/>
      <c r="I541" s="5"/>
      <c r="J541" s="5"/>
    </row>
    <row r="542" spans="1:10" ht="14.1" customHeight="1" thickBot="1" x14ac:dyDescent="0.25">
      <c r="A542" s="5"/>
      <c r="B542" s="5"/>
      <c r="C542" s="5"/>
      <c r="D542" s="5"/>
      <c r="E542" s="5"/>
      <c r="F542" s="5"/>
      <c r="G542" s="5"/>
      <c r="H542" s="5"/>
      <c r="I542" s="5"/>
      <c r="J542" s="5"/>
    </row>
    <row r="543" spans="1:10" ht="14.1" customHeight="1" thickBot="1" x14ac:dyDescent="0.25">
      <c r="A543" s="67" t="s">
        <v>15735</v>
      </c>
      <c r="B543" s="67" t="s">
        <v>16146</v>
      </c>
      <c r="C543" s="67" t="s">
        <v>15641</v>
      </c>
      <c r="D543" s="67" t="s">
        <v>15251</v>
      </c>
      <c r="E543" s="67" t="s">
        <v>6932</v>
      </c>
      <c r="F543" s="67" t="s">
        <v>15280</v>
      </c>
      <c r="G543" s="5"/>
      <c r="H543" s="5"/>
      <c r="I543" s="5"/>
      <c r="J543" s="5"/>
    </row>
    <row r="544" spans="1:10" ht="13.5" customHeight="1" x14ac:dyDescent="0.2">
      <c r="A544" s="63">
        <v>91111502</v>
      </c>
      <c r="B544" s="64" t="str">
        <f ca="1">IFERROR(INDEX(UNSPSCDes,MATCH(INDIRECT(ADDRESS(ROW(),COLUMN()-1,4)),UNSPSCCode,0)),"")</f>
        <v>Servicios de lavandería</v>
      </c>
      <c r="C544" s="63" t="s">
        <v>1449</v>
      </c>
      <c r="D544" s="63">
        <v>1</v>
      </c>
      <c r="E544" s="66">
        <v>7500</v>
      </c>
      <c r="F544" s="65">
        <f ca="1">INDIRECT(ADDRESS(ROW(),COLUMN()-2,4))*INDIRECT(ADDRESS(ROW(),COLUMN()-1,4))</f>
        <v>7500</v>
      </c>
      <c r="G544" s="5"/>
      <c r="H544" s="5"/>
      <c r="I544" s="5"/>
      <c r="J544" s="5"/>
    </row>
    <row r="545" spans="1:10" ht="14.1" customHeight="1" x14ac:dyDescent="0.2">
      <c r="A545" s="5"/>
      <c r="B545" s="5"/>
      <c r="C545" s="5"/>
      <c r="D545" s="5"/>
      <c r="E545" s="68" t="s">
        <v>12549</v>
      </c>
      <c r="F545" s="69">
        <f ca="1">SUM(Table351[MONTO TOTAL ESTIMADO])</f>
        <v>7500</v>
      </c>
      <c r="G545" s="5"/>
      <c r="H545" s="5" t="str">
        <f>C537</f>
        <v>Servicios</v>
      </c>
      <c r="I545" s="5" t="str">
        <f>E537</f>
        <v>Sí</v>
      </c>
      <c r="J545" s="5" t="str">
        <f>D537</f>
        <v>Compras por debajo del Umbral</v>
      </c>
    </row>
    <row r="546" spans="1:10" ht="14.1" customHeight="1" thickBot="1" x14ac:dyDescent="0.3"/>
    <row r="547" spans="1:10" ht="33.75" customHeight="1" thickBot="1" x14ac:dyDescent="0.25">
      <c r="A547" s="59" t="s">
        <v>16382</v>
      </c>
      <c r="B547" s="59" t="s">
        <v>161</v>
      </c>
      <c r="C547" s="59" t="s">
        <v>11723</v>
      </c>
      <c r="D547" s="59" t="s">
        <v>14377</v>
      </c>
      <c r="E547" s="59" t="s">
        <v>10961</v>
      </c>
      <c r="F547" s="59" t="s">
        <v>11094</v>
      </c>
      <c r="G547" s="5"/>
      <c r="H547" s="5"/>
      <c r="I547" s="5"/>
      <c r="J547" s="5"/>
    </row>
    <row r="548" spans="1:10" ht="14.1" customHeight="1" thickBot="1" x14ac:dyDescent="0.25">
      <c r="A548" s="61" t="s">
        <v>18860</v>
      </c>
      <c r="B548" s="61" t="s">
        <v>18860</v>
      </c>
      <c r="C548" s="61" t="s">
        <v>6798</v>
      </c>
      <c r="D548" s="61" t="s">
        <v>10170</v>
      </c>
      <c r="E548" s="61" t="s">
        <v>8854</v>
      </c>
      <c r="F548" s="61"/>
      <c r="G548" s="5"/>
      <c r="H548" s="5"/>
      <c r="I548" s="5"/>
      <c r="J548" s="5"/>
    </row>
    <row r="549" spans="1:10" ht="14.1" customHeight="1" thickBot="1" x14ac:dyDescent="0.25">
      <c r="A549" s="82" t="s">
        <v>14828</v>
      </c>
      <c r="B549" s="62" t="s">
        <v>8528</v>
      </c>
      <c r="C549" s="71">
        <v>44287</v>
      </c>
      <c r="D549" s="82" t="s">
        <v>9385</v>
      </c>
      <c r="E549" s="62" t="s">
        <v>13092</v>
      </c>
      <c r="F549" s="61" t="s">
        <v>3080</v>
      </c>
      <c r="G549" s="5"/>
      <c r="H549" s="5"/>
      <c r="I549" s="5"/>
      <c r="J549" s="5"/>
    </row>
    <row r="550" spans="1:10" ht="14.1" customHeight="1" thickBot="1" x14ac:dyDescent="0.25">
      <c r="A550" s="83"/>
      <c r="B550" s="62" t="s">
        <v>1786</v>
      </c>
      <c r="C550" s="60">
        <f>IF(C549="","",IF(AND(MONTH(C549)&gt;=1,MONTH(C549)&lt;=3),1,IF(AND(MONTH(C549)&gt;=4,MONTH(C549)&lt;=6),2,IF(AND(MONTH(C549)&gt;=7,MONTH(C549)&lt;=9),3,4))))</f>
        <v>2</v>
      </c>
      <c r="D550" s="83"/>
      <c r="E550" s="62" t="s">
        <v>2417</v>
      </c>
      <c r="F550" s="61" t="s">
        <v>11111</v>
      </c>
      <c r="G550" s="5"/>
      <c r="H550" s="5"/>
      <c r="I550" s="5"/>
      <c r="J550" s="5"/>
    </row>
    <row r="551" spans="1:10" ht="14.1" customHeight="1" thickBot="1" x14ac:dyDescent="0.25">
      <c r="A551" s="83"/>
      <c r="B551" s="62" t="s">
        <v>12941</v>
      </c>
      <c r="C551" s="71">
        <v>44288</v>
      </c>
      <c r="D551" s="83"/>
      <c r="E551" s="62" t="s">
        <v>3073</v>
      </c>
      <c r="F551" s="61" t="s">
        <v>11111</v>
      </c>
      <c r="G551" s="5"/>
      <c r="H551" s="5"/>
      <c r="I551" s="5"/>
      <c r="J551" s="5"/>
    </row>
    <row r="552" spans="1:10" ht="14.1" customHeight="1" thickBot="1" x14ac:dyDescent="0.25">
      <c r="A552" s="83"/>
      <c r="B552" s="62" t="s">
        <v>1786</v>
      </c>
      <c r="C552" s="60">
        <f>IF(C551="","",IF(AND(MONTH(C551)&gt;=1,MONTH(C551)&lt;=3),1,IF(AND(MONTH(C551)&gt;=4,MONTH(C551)&lt;=6),2,IF(AND(MONTH(C551)&gt;=7,MONTH(C551)&lt;=9),3,4))))</f>
        <v>2</v>
      </c>
      <c r="D552" s="83"/>
      <c r="E552" s="62" t="s">
        <v>13191</v>
      </c>
      <c r="F552" s="61" t="s">
        <v>11111</v>
      </c>
      <c r="G552" s="5"/>
      <c r="H552" s="5"/>
      <c r="I552" s="5"/>
      <c r="J552" s="5"/>
    </row>
    <row r="553" spans="1:10" ht="14.1" customHeight="1" thickBot="1" x14ac:dyDescent="0.25">
      <c r="A553" s="5"/>
      <c r="B553" s="5"/>
      <c r="C553" s="5"/>
      <c r="D553" s="5"/>
      <c r="E553" s="5"/>
      <c r="F553" s="5"/>
      <c r="G553" s="5"/>
      <c r="H553" s="5"/>
      <c r="I553" s="5"/>
      <c r="J553" s="5"/>
    </row>
    <row r="554" spans="1:10" ht="14.1" customHeight="1" thickBot="1" x14ac:dyDescent="0.25">
      <c r="A554" s="67" t="s">
        <v>15735</v>
      </c>
      <c r="B554" s="67" t="s">
        <v>16146</v>
      </c>
      <c r="C554" s="67" t="s">
        <v>15641</v>
      </c>
      <c r="D554" s="67" t="s">
        <v>15251</v>
      </c>
      <c r="E554" s="67" t="s">
        <v>6932</v>
      </c>
      <c r="F554" s="67" t="s">
        <v>15280</v>
      </c>
      <c r="G554" s="5"/>
      <c r="H554" s="5"/>
      <c r="I554" s="5"/>
      <c r="J554" s="5"/>
    </row>
    <row r="555" spans="1:10" ht="13.5" customHeight="1" x14ac:dyDescent="0.2">
      <c r="A555" s="63">
        <v>91111502</v>
      </c>
      <c r="B555" s="64" t="str">
        <f ca="1">IFERROR(INDEX(UNSPSCDes,MATCH(INDIRECT(ADDRESS(ROW(),COLUMN()-1,4)),UNSPSCCode,0)),"")</f>
        <v>Servicios de lavandería</v>
      </c>
      <c r="C555" s="63" t="s">
        <v>1449</v>
      </c>
      <c r="D555" s="63">
        <v>1</v>
      </c>
      <c r="E555" s="66">
        <v>7500</v>
      </c>
      <c r="F555" s="65">
        <f ca="1">INDIRECT(ADDRESS(ROW(),COLUMN()-2,4))*INDIRECT(ADDRESS(ROW(),COLUMN()-1,4))</f>
        <v>7500</v>
      </c>
      <c r="G555" s="5"/>
      <c r="H555" s="5"/>
      <c r="I555" s="5"/>
      <c r="J555" s="5"/>
    </row>
    <row r="556" spans="1:10" ht="14.1" customHeight="1" x14ac:dyDescent="0.2">
      <c r="A556" s="5"/>
      <c r="B556" s="5"/>
      <c r="C556" s="5"/>
      <c r="D556" s="5"/>
      <c r="E556" s="68" t="s">
        <v>12549</v>
      </c>
      <c r="F556" s="69">
        <f ca="1">SUM(Table352[MONTO TOTAL ESTIMADO])</f>
        <v>7500</v>
      </c>
      <c r="G556" s="5"/>
      <c r="H556" s="5" t="str">
        <f>C548</f>
        <v>Servicios</v>
      </c>
      <c r="I556" s="5" t="str">
        <f>E548</f>
        <v>Sí</v>
      </c>
      <c r="J556" s="5" t="str">
        <f>D548</f>
        <v>Compras por debajo del Umbral</v>
      </c>
    </row>
    <row r="557" spans="1:10" ht="14.1" customHeight="1" thickBot="1" x14ac:dyDescent="0.3"/>
    <row r="558" spans="1:10" ht="33.75" customHeight="1" thickBot="1" x14ac:dyDescent="0.25">
      <c r="A558" s="59" t="s">
        <v>16382</v>
      </c>
      <c r="B558" s="59" t="s">
        <v>161</v>
      </c>
      <c r="C558" s="59" t="s">
        <v>11723</v>
      </c>
      <c r="D558" s="59" t="s">
        <v>14377</v>
      </c>
      <c r="E558" s="59" t="s">
        <v>10961</v>
      </c>
      <c r="F558" s="59" t="s">
        <v>11094</v>
      </c>
      <c r="G558" s="5"/>
      <c r="H558" s="5"/>
      <c r="I558" s="5"/>
      <c r="J558" s="5"/>
    </row>
    <row r="559" spans="1:10" ht="14.1" customHeight="1" thickBot="1" x14ac:dyDescent="0.25">
      <c r="A559" s="61" t="s">
        <v>18860</v>
      </c>
      <c r="B559" s="61" t="s">
        <v>18860</v>
      </c>
      <c r="C559" s="61" t="s">
        <v>6798</v>
      </c>
      <c r="D559" s="61" t="s">
        <v>10170</v>
      </c>
      <c r="E559" s="61" t="s">
        <v>8854</v>
      </c>
      <c r="F559" s="61"/>
      <c r="G559" s="5"/>
      <c r="H559" s="5"/>
      <c r="I559" s="5"/>
      <c r="J559" s="5"/>
    </row>
    <row r="560" spans="1:10" ht="14.1" customHeight="1" thickBot="1" x14ac:dyDescent="0.25">
      <c r="A560" s="82" t="s">
        <v>14828</v>
      </c>
      <c r="B560" s="62" t="s">
        <v>8528</v>
      </c>
      <c r="C560" s="71">
        <v>44378</v>
      </c>
      <c r="D560" s="82" t="s">
        <v>9385</v>
      </c>
      <c r="E560" s="62" t="s">
        <v>13092</v>
      </c>
      <c r="F560" s="61" t="s">
        <v>3080</v>
      </c>
      <c r="G560" s="5"/>
      <c r="H560" s="5"/>
      <c r="I560" s="5"/>
      <c r="J560" s="5"/>
    </row>
    <row r="561" spans="1:10" ht="14.1" customHeight="1" thickBot="1" x14ac:dyDescent="0.25">
      <c r="A561" s="83"/>
      <c r="B561" s="62" t="s">
        <v>1786</v>
      </c>
      <c r="C561" s="60">
        <f>IF(C560="","",IF(AND(MONTH(C560)&gt;=1,MONTH(C560)&lt;=3),1,IF(AND(MONTH(C560)&gt;=4,MONTH(C560)&lt;=6),2,IF(AND(MONTH(C560)&gt;=7,MONTH(C560)&lt;=9),3,4))))</f>
        <v>3</v>
      </c>
      <c r="D561" s="83"/>
      <c r="E561" s="62" t="s">
        <v>2417</v>
      </c>
      <c r="F561" s="61" t="s">
        <v>11111</v>
      </c>
      <c r="G561" s="5"/>
      <c r="H561" s="5"/>
      <c r="I561" s="5"/>
      <c r="J561" s="5"/>
    </row>
    <row r="562" spans="1:10" ht="14.1" customHeight="1" thickBot="1" x14ac:dyDescent="0.25">
      <c r="A562" s="83"/>
      <c r="B562" s="62" t="s">
        <v>12941</v>
      </c>
      <c r="C562" s="71">
        <v>44379</v>
      </c>
      <c r="D562" s="83"/>
      <c r="E562" s="62" t="s">
        <v>3073</v>
      </c>
      <c r="F562" s="61" t="s">
        <v>11111</v>
      </c>
      <c r="G562" s="5"/>
      <c r="H562" s="5"/>
      <c r="I562" s="5"/>
      <c r="J562" s="5"/>
    </row>
    <row r="563" spans="1:10" ht="14.1" customHeight="1" thickBot="1" x14ac:dyDescent="0.25">
      <c r="A563" s="83"/>
      <c r="B563" s="62" t="s">
        <v>1786</v>
      </c>
      <c r="C563" s="60">
        <f>IF(C562="","",IF(AND(MONTH(C562)&gt;=1,MONTH(C562)&lt;=3),1,IF(AND(MONTH(C562)&gt;=4,MONTH(C562)&lt;=6),2,IF(AND(MONTH(C562)&gt;=7,MONTH(C562)&lt;=9),3,4))))</f>
        <v>3</v>
      </c>
      <c r="D563" s="83"/>
      <c r="E563" s="62" t="s">
        <v>13191</v>
      </c>
      <c r="F563" s="61" t="s">
        <v>11111</v>
      </c>
      <c r="G563" s="5"/>
      <c r="H563" s="5"/>
      <c r="I563" s="5"/>
      <c r="J563" s="5"/>
    </row>
    <row r="564" spans="1:10" ht="14.1" customHeight="1" thickBot="1" x14ac:dyDescent="0.25">
      <c r="A564" s="5"/>
      <c r="B564" s="5"/>
      <c r="C564" s="5"/>
      <c r="D564" s="5"/>
      <c r="E564" s="5"/>
      <c r="F564" s="5"/>
      <c r="G564" s="5"/>
      <c r="H564" s="5"/>
      <c r="I564" s="5"/>
      <c r="J564" s="5"/>
    </row>
    <row r="565" spans="1:10" ht="14.1" customHeight="1" thickBot="1" x14ac:dyDescent="0.25">
      <c r="A565" s="67" t="s">
        <v>15735</v>
      </c>
      <c r="B565" s="67" t="s">
        <v>16146</v>
      </c>
      <c r="C565" s="67" t="s">
        <v>15641</v>
      </c>
      <c r="D565" s="67" t="s">
        <v>15251</v>
      </c>
      <c r="E565" s="67" t="s">
        <v>6932</v>
      </c>
      <c r="F565" s="67" t="s">
        <v>15280</v>
      </c>
      <c r="G565" s="5"/>
      <c r="H565" s="5"/>
      <c r="I565" s="5"/>
      <c r="J565" s="5"/>
    </row>
    <row r="566" spans="1:10" ht="13.5" customHeight="1" x14ac:dyDescent="0.2">
      <c r="A566" s="63">
        <v>91111502</v>
      </c>
      <c r="B566" s="64" t="str">
        <f ca="1">IFERROR(INDEX(UNSPSCDes,MATCH(INDIRECT(ADDRESS(ROW(),COLUMN()-1,4)),UNSPSCCode,0)),"")</f>
        <v>Servicios de lavandería</v>
      </c>
      <c r="C566" s="63" t="s">
        <v>1449</v>
      </c>
      <c r="D566" s="63">
        <v>1</v>
      </c>
      <c r="E566" s="66">
        <v>7500</v>
      </c>
      <c r="F566" s="65">
        <f ca="1">INDIRECT(ADDRESS(ROW(),COLUMN()-2,4))*INDIRECT(ADDRESS(ROW(),COLUMN()-1,4))</f>
        <v>7500</v>
      </c>
      <c r="G566" s="5"/>
      <c r="H566" s="5"/>
      <c r="I566" s="5"/>
      <c r="J566" s="5"/>
    </row>
    <row r="567" spans="1:10" ht="14.1" customHeight="1" x14ac:dyDescent="0.2">
      <c r="A567" s="5"/>
      <c r="B567" s="5"/>
      <c r="C567" s="5"/>
      <c r="D567" s="5"/>
      <c r="E567" s="68" t="s">
        <v>12549</v>
      </c>
      <c r="F567" s="69">
        <f ca="1">SUM(Table353[MONTO TOTAL ESTIMADO])</f>
        <v>7500</v>
      </c>
      <c r="G567" s="5"/>
      <c r="H567" s="5" t="str">
        <f>C559</f>
        <v>Servicios</v>
      </c>
      <c r="I567" s="5" t="str">
        <f>E559</f>
        <v>Sí</v>
      </c>
      <c r="J567" s="5" t="str">
        <f>D559</f>
        <v>Compras por debajo del Umbral</v>
      </c>
    </row>
    <row r="568" spans="1:10" ht="14.1" customHeight="1" thickBot="1" x14ac:dyDescent="0.3"/>
    <row r="569" spans="1:10" ht="33.75" customHeight="1" thickBot="1" x14ac:dyDescent="0.25">
      <c r="A569" s="59" t="s">
        <v>16382</v>
      </c>
      <c r="B569" s="59" t="s">
        <v>161</v>
      </c>
      <c r="C569" s="59" t="s">
        <v>11723</v>
      </c>
      <c r="D569" s="59" t="s">
        <v>14377</v>
      </c>
      <c r="E569" s="59" t="s">
        <v>10961</v>
      </c>
      <c r="F569" s="59" t="s">
        <v>11094</v>
      </c>
      <c r="G569" s="5"/>
      <c r="H569" s="5"/>
      <c r="I569" s="5"/>
      <c r="J569" s="5"/>
    </row>
    <row r="570" spans="1:10" ht="14.1" customHeight="1" thickBot="1" x14ac:dyDescent="0.25">
      <c r="A570" s="61" t="s">
        <v>18860</v>
      </c>
      <c r="B570" s="61" t="s">
        <v>18860</v>
      </c>
      <c r="C570" s="61" t="s">
        <v>6798</v>
      </c>
      <c r="D570" s="61" t="s">
        <v>10170</v>
      </c>
      <c r="E570" s="61" t="s">
        <v>8854</v>
      </c>
      <c r="F570" s="61"/>
      <c r="G570" s="5"/>
      <c r="H570" s="5"/>
      <c r="I570" s="5"/>
      <c r="J570" s="5"/>
    </row>
    <row r="571" spans="1:10" ht="14.1" customHeight="1" thickBot="1" x14ac:dyDescent="0.25">
      <c r="A571" s="82" t="s">
        <v>14828</v>
      </c>
      <c r="B571" s="62" t="s">
        <v>8528</v>
      </c>
      <c r="C571" s="71">
        <v>44470</v>
      </c>
      <c r="D571" s="82" t="s">
        <v>9385</v>
      </c>
      <c r="E571" s="62" t="s">
        <v>13092</v>
      </c>
      <c r="F571" s="61" t="s">
        <v>3080</v>
      </c>
      <c r="G571" s="5"/>
      <c r="H571" s="5"/>
      <c r="I571" s="5"/>
      <c r="J571" s="5"/>
    </row>
    <row r="572" spans="1:10" ht="14.1" customHeight="1" thickBot="1" x14ac:dyDescent="0.25">
      <c r="A572" s="83"/>
      <c r="B572" s="62" t="s">
        <v>1786</v>
      </c>
      <c r="C572" s="60">
        <f>IF(C571="","",IF(AND(MONTH(C571)&gt;=1,MONTH(C571)&lt;=3),1,IF(AND(MONTH(C571)&gt;=4,MONTH(C571)&lt;=6),2,IF(AND(MONTH(C571)&gt;=7,MONTH(C571)&lt;=9),3,4))))</f>
        <v>4</v>
      </c>
      <c r="D572" s="83"/>
      <c r="E572" s="62" t="s">
        <v>2417</v>
      </c>
      <c r="F572" s="61" t="s">
        <v>11111</v>
      </c>
      <c r="G572" s="5"/>
      <c r="H572" s="5"/>
      <c r="I572" s="5"/>
      <c r="J572" s="5"/>
    </row>
    <row r="573" spans="1:10" ht="14.1" customHeight="1" thickBot="1" x14ac:dyDescent="0.25">
      <c r="A573" s="83"/>
      <c r="B573" s="62" t="s">
        <v>12941</v>
      </c>
      <c r="C573" s="71">
        <v>44473</v>
      </c>
      <c r="D573" s="83"/>
      <c r="E573" s="62" t="s">
        <v>3073</v>
      </c>
      <c r="F573" s="61" t="s">
        <v>11111</v>
      </c>
      <c r="G573" s="5"/>
      <c r="H573" s="5"/>
      <c r="I573" s="5"/>
      <c r="J573" s="5"/>
    </row>
    <row r="574" spans="1:10" ht="14.1" customHeight="1" thickBot="1" x14ac:dyDescent="0.25">
      <c r="A574" s="83"/>
      <c r="B574" s="62" t="s">
        <v>1786</v>
      </c>
      <c r="C574" s="60">
        <f>IF(C573="","",IF(AND(MONTH(C573)&gt;=1,MONTH(C573)&lt;=3),1,IF(AND(MONTH(C573)&gt;=4,MONTH(C573)&lt;=6),2,IF(AND(MONTH(C573)&gt;=7,MONTH(C573)&lt;=9),3,4))))</f>
        <v>4</v>
      </c>
      <c r="D574" s="83"/>
      <c r="E574" s="62" t="s">
        <v>13191</v>
      </c>
      <c r="F574" s="61" t="s">
        <v>11111</v>
      </c>
      <c r="G574" s="5"/>
      <c r="H574" s="5"/>
      <c r="I574" s="5"/>
      <c r="J574" s="5"/>
    </row>
    <row r="575" spans="1:10" ht="14.1" customHeight="1" thickBot="1" x14ac:dyDescent="0.25">
      <c r="A575" s="5"/>
      <c r="B575" s="5"/>
      <c r="C575" s="5"/>
      <c r="D575" s="5"/>
      <c r="E575" s="5"/>
      <c r="F575" s="5"/>
      <c r="G575" s="5"/>
      <c r="H575" s="5"/>
      <c r="I575" s="5"/>
      <c r="J575" s="5"/>
    </row>
    <row r="576" spans="1:10" ht="14.1" customHeight="1" thickBot="1" x14ac:dyDescent="0.25">
      <c r="A576" s="67" t="s">
        <v>15735</v>
      </c>
      <c r="B576" s="67" t="s">
        <v>16146</v>
      </c>
      <c r="C576" s="67" t="s">
        <v>15641</v>
      </c>
      <c r="D576" s="67" t="s">
        <v>15251</v>
      </c>
      <c r="E576" s="67" t="s">
        <v>6932</v>
      </c>
      <c r="F576" s="67" t="s">
        <v>15280</v>
      </c>
      <c r="G576" s="5"/>
      <c r="H576" s="5"/>
      <c r="I576" s="5"/>
      <c r="J576" s="5"/>
    </row>
    <row r="577" spans="1:10" ht="13.5" customHeight="1" x14ac:dyDescent="0.2">
      <c r="A577" s="63">
        <v>91111502</v>
      </c>
      <c r="B577" s="64" t="str">
        <f ca="1">IFERROR(INDEX(UNSPSCDes,MATCH(INDIRECT(ADDRESS(ROW(),COLUMN()-1,4)),UNSPSCCode,0)),"")</f>
        <v>Servicios de lavandería</v>
      </c>
      <c r="C577" s="63" t="s">
        <v>1449</v>
      </c>
      <c r="D577" s="63">
        <v>1</v>
      </c>
      <c r="E577" s="66">
        <v>7500</v>
      </c>
      <c r="F577" s="65">
        <f ca="1">INDIRECT(ADDRESS(ROW(),COLUMN()-2,4))*INDIRECT(ADDRESS(ROW(),COLUMN()-1,4))</f>
        <v>7500</v>
      </c>
      <c r="G577" s="5"/>
      <c r="H577" s="5"/>
      <c r="I577" s="5"/>
      <c r="J577" s="5"/>
    </row>
    <row r="578" spans="1:10" ht="14.1" customHeight="1" x14ac:dyDescent="0.2">
      <c r="A578" s="5"/>
      <c r="B578" s="5"/>
      <c r="C578" s="5"/>
      <c r="D578" s="5"/>
      <c r="E578" s="68" t="s">
        <v>12549</v>
      </c>
      <c r="F578" s="69">
        <f ca="1">SUM(Table354[MONTO TOTAL ESTIMADO])</f>
        <v>7500</v>
      </c>
      <c r="G578" s="5"/>
      <c r="H578" s="5" t="str">
        <f>C570</f>
        <v>Servicios</v>
      </c>
      <c r="I578" s="5" t="str">
        <f>E570</f>
        <v>Sí</v>
      </c>
      <c r="J578" s="5" t="str">
        <f>D570</f>
        <v>Compras por debajo del Umbral</v>
      </c>
    </row>
    <row r="579" spans="1:10" ht="14.1" customHeight="1" thickBot="1" x14ac:dyDescent="0.3"/>
    <row r="580" spans="1:10" ht="33.75" customHeight="1" thickBot="1" x14ac:dyDescent="0.25">
      <c r="A580" s="59" t="s">
        <v>16382</v>
      </c>
      <c r="B580" s="59" t="s">
        <v>161</v>
      </c>
      <c r="C580" s="59" t="s">
        <v>11723</v>
      </c>
      <c r="D580" s="59" t="s">
        <v>14377</v>
      </c>
      <c r="E580" s="59" t="s">
        <v>10961</v>
      </c>
      <c r="F580" s="59" t="s">
        <v>11094</v>
      </c>
      <c r="G580" s="5"/>
      <c r="H580" s="5"/>
      <c r="I580" s="5"/>
      <c r="J580" s="5"/>
    </row>
    <row r="581" spans="1:10" ht="14.1" customHeight="1" thickBot="1" x14ac:dyDescent="0.25">
      <c r="A581" s="61" t="s">
        <v>18861</v>
      </c>
      <c r="B581" s="61" t="s">
        <v>18862</v>
      </c>
      <c r="C581" s="61" t="s">
        <v>6798</v>
      </c>
      <c r="D581" s="61" t="s">
        <v>17483</v>
      </c>
      <c r="E581" s="61" t="s">
        <v>6033</v>
      </c>
      <c r="F581" s="61"/>
      <c r="G581" s="5"/>
      <c r="H581" s="5"/>
      <c r="I581" s="5"/>
      <c r="J581" s="5"/>
    </row>
    <row r="582" spans="1:10" ht="14.1" customHeight="1" thickBot="1" x14ac:dyDescent="0.25">
      <c r="A582" s="82" t="s">
        <v>14828</v>
      </c>
      <c r="B582" s="62" t="s">
        <v>8528</v>
      </c>
      <c r="C582" s="71">
        <v>44470</v>
      </c>
      <c r="D582" s="82" t="s">
        <v>9385</v>
      </c>
      <c r="E582" s="62" t="s">
        <v>13092</v>
      </c>
      <c r="F582" s="61" t="s">
        <v>3080</v>
      </c>
      <c r="G582" s="5"/>
      <c r="H582" s="5"/>
      <c r="I582" s="5"/>
      <c r="J582" s="5"/>
    </row>
    <row r="583" spans="1:10" ht="14.1" customHeight="1" thickBot="1" x14ac:dyDescent="0.25">
      <c r="A583" s="83"/>
      <c r="B583" s="62" t="s">
        <v>1786</v>
      </c>
      <c r="C583" s="60">
        <f>IF(C582="","",IF(AND(MONTH(C582)&gt;=1,MONTH(C582)&lt;=3),1,IF(AND(MONTH(C582)&gt;=4,MONTH(C582)&lt;=6),2,IF(AND(MONTH(C582)&gt;=7,MONTH(C582)&lt;=9),3,4))))</f>
        <v>4</v>
      </c>
      <c r="D583" s="83"/>
      <c r="E583" s="62" t="s">
        <v>2417</v>
      </c>
      <c r="F583" s="61" t="s">
        <v>11111</v>
      </c>
      <c r="G583" s="5"/>
      <c r="H583" s="5"/>
      <c r="I583" s="5"/>
      <c r="J583" s="5"/>
    </row>
    <row r="584" spans="1:10" ht="14.1" customHeight="1" thickBot="1" x14ac:dyDescent="0.25">
      <c r="A584" s="83"/>
      <c r="B584" s="62" t="s">
        <v>12941</v>
      </c>
      <c r="C584" s="71">
        <v>44484</v>
      </c>
      <c r="D584" s="83"/>
      <c r="E584" s="62" t="s">
        <v>3073</v>
      </c>
      <c r="F584" s="61" t="s">
        <v>11111</v>
      </c>
      <c r="G584" s="5"/>
      <c r="H584" s="5"/>
      <c r="I584" s="5"/>
      <c r="J584" s="5"/>
    </row>
    <row r="585" spans="1:10" ht="14.1" customHeight="1" thickBot="1" x14ac:dyDescent="0.25">
      <c r="A585" s="83"/>
      <c r="B585" s="62" t="s">
        <v>1786</v>
      </c>
      <c r="C585" s="60">
        <f>IF(C584="","",IF(AND(MONTH(C584)&gt;=1,MONTH(C584)&lt;=3),1,IF(AND(MONTH(C584)&gt;=4,MONTH(C584)&lt;=6),2,IF(AND(MONTH(C584)&gt;=7,MONTH(C584)&lt;=9),3,4))))</f>
        <v>4</v>
      </c>
      <c r="D585" s="83"/>
      <c r="E585" s="62" t="s">
        <v>13191</v>
      </c>
      <c r="F585" s="61" t="s">
        <v>11111</v>
      </c>
      <c r="G585" s="5"/>
      <c r="H585" s="5"/>
      <c r="I585" s="5"/>
      <c r="J585" s="5"/>
    </row>
    <row r="586" spans="1:10" ht="14.1" customHeight="1" thickBot="1" x14ac:dyDescent="0.25">
      <c r="A586" s="5"/>
      <c r="B586" s="5"/>
      <c r="C586" s="5"/>
      <c r="D586" s="5"/>
      <c r="E586" s="5"/>
      <c r="F586" s="5"/>
      <c r="G586" s="5"/>
      <c r="H586" s="5"/>
      <c r="I586" s="5"/>
      <c r="J586" s="5"/>
    </row>
    <row r="587" spans="1:10" ht="14.1" customHeight="1" thickBot="1" x14ac:dyDescent="0.25">
      <c r="A587" s="67" t="s">
        <v>15735</v>
      </c>
      <c r="B587" s="67" t="s">
        <v>16146</v>
      </c>
      <c r="C587" s="67" t="s">
        <v>15641</v>
      </c>
      <c r="D587" s="67" t="s">
        <v>15251</v>
      </c>
      <c r="E587" s="67" t="s">
        <v>6932</v>
      </c>
      <c r="F587" s="67" t="s">
        <v>15280</v>
      </c>
      <c r="G587" s="5"/>
      <c r="H587" s="5"/>
      <c r="I587" s="5"/>
      <c r="J587" s="5"/>
    </row>
    <row r="588" spans="1:10" ht="13.5" customHeight="1" x14ac:dyDescent="0.2">
      <c r="A588" s="63">
        <v>80141902</v>
      </c>
      <c r="B588" s="64" t="str">
        <f ca="1">IFERROR(INDEX(UNSPSCDes,MATCH(INDIRECT(ADDRESS(ROW(),COLUMN()-1,4)),UNSPSCCode,0)),"")</f>
        <v>Reuniones y eventos</v>
      </c>
      <c r="C588" s="63" t="s">
        <v>1449</v>
      </c>
      <c r="D588" s="63">
        <v>1</v>
      </c>
      <c r="E588" s="66">
        <v>350000</v>
      </c>
      <c r="F588" s="65">
        <f ca="1">INDIRECT(ADDRESS(ROW(),COLUMN()-2,4))*INDIRECT(ADDRESS(ROW(),COLUMN()-1,4))</f>
        <v>350000</v>
      </c>
      <c r="G588" s="5"/>
      <c r="H588" s="5"/>
      <c r="I588" s="5"/>
      <c r="J588" s="5"/>
    </row>
    <row r="589" spans="1:10" ht="14.1" customHeight="1" x14ac:dyDescent="0.2">
      <c r="A589" s="5"/>
      <c r="B589" s="5"/>
      <c r="C589" s="5"/>
      <c r="D589" s="5"/>
      <c r="E589" s="68" t="s">
        <v>12549</v>
      </c>
      <c r="F589" s="69">
        <f ca="1">SUM(Table355[MONTO TOTAL ESTIMADO])</f>
        <v>350000</v>
      </c>
      <c r="G589" s="5"/>
      <c r="H589" s="5" t="str">
        <f>C581</f>
        <v>Servicios</v>
      </c>
      <c r="I589" s="5" t="str">
        <f>E581</f>
        <v>MIPYME Mujeres</v>
      </c>
      <c r="J589" s="5" t="str">
        <f>D581</f>
        <v>Compras Menores</v>
      </c>
    </row>
    <row r="590" spans="1:10" ht="14.1" customHeight="1" thickBot="1" x14ac:dyDescent="0.3"/>
    <row r="591" spans="1:10" ht="33.75" customHeight="1" thickBot="1" x14ac:dyDescent="0.25">
      <c r="A591" s="59" t="s">
        <v>16382</v>
      </c>
      <c r="B591" s="59" t="s">
        <v>161</v>
      </c>
      <c r="C591" s="59" t="s">
        <v>11723</v>
      </c>
      <c r="D591" s="59" t="s">
        <v>14377</v>
      </c>
      <c r="E591" s="59" t="s">
        <v>10961</v>
      </c>
      <c r="F591" s="59" t="s">
        <v>11094</v>
      </c>
      <c r="G591" s="5"/>
      <c r="H591" s="5"/>
      <c r="I591" s="5"/>
      <c r="J591" s="5"/>
    </row>
    <row r="592" spans="1:10" ht="14.1" customHeight="1" thickBot="1" x14ac:dyDescent="0.25">
      <c r="A592" s="61" t="s">
        <v>18863</v>
      </c>
      <c r="B592" s="61" t="s">
        <v>18864</v>
      </c>
      <c r="C592" s="61" t="s">
        <v>6798</v>
      </c>
      <c r="D592" s="61" t="s">
        <v>10170</v>
      </c>
      <c r="E592" s="61" t="s">
        <v>8854</v>
      </c>
      <c r="F592" s="61"/>
      <c r="G592" s="5"/>
      <c r="H592" s="5"/>
      <c r="I592" s="5"/>
      <c r="J592" s="5"/>
    </row>
    <row r="593" spans="1:10" ht="14.1" customHeight="1" thickBot="1" x14ac:dyDescent="0.25">
      <c r="A593" s="82" t="s">
        <v>14828</v>
      </c>
      <c r="B593" s="62" t="s">
        <v>8528</v>
      </c>
      <c r="C593" s="71">
        <v>44197</v>
      </c>
      <c r="D593" s="82" t="s">
        <v>9385</v>
      </c>
      <c r="E593" s="62" t="s">
        <v>13092</v>
      </c>
      <c r="F593" s="61" t="s">
        <v>3080</v>
      </c>
      <c r="G593" s="5"/>
      <c r="H593" s="5"/>
      <c r="I593" s="5"/>
      <c r="J593" s="5"/>
    </row>
    <row r="594" spans="1:10" ht="14.1" customHeight="1" thickBot="1" x14ac:dyDescent="0.25">
      <c r="A594" s="83"/>
      <c r="B594" s="62" t="s">
        <v>1786</v>
      </c>
      <c r="C594" s="60">
        <f>IF(C593="","",IF(AND(MONTH(C593)&gt;=1,MONTH(C593)&lt;=3),1,IF(AND(MONTH(C593)&gt;=4,MONTH(C593)&lt;=6),2,IF(AND(MONTH(C593)&gt;=7,MONTH(C593)&lt;=9),3,4))))</f>
        <v>1</v>
      </c>
      <c r="D594" s="83"/>
      <c r="E594" s="62" t="s">
        <v>2417</v>
      </c>
      <c r="F594" s="61" t="s">
        <v>11111</v>
      </c>
      <c r="G594" s="5"/>
      <c r="H594" s="5"/>
      <c r="I594" s="5"/>
      <c r="J594" s="5"/>
    </row>
    <row r="595" spans="1:10" ht="14.1" customHeight="1" thickBot="1" x14ac:dyDescent="0.25">
      <c r="A595" s="83"/>
      <c r="B595" s="62" t="s">
        <v>12941</v>
      </c>
      <c r="C595" s="71">
        <v>44198</v>
      </c>
      <c r="D595" s="83"/>
      <c r="E595" s="62" t="s">
        <v>3073</v>
      </c>
      <c r="F595" s="61" t="s">
        <v>11111</v>
      </c>
      <c r="G595" s="5"/>
      <c r="H595" s="5"/>
      <c r="I595" s="5"/>
      <c r="J595" s="5"/>
    </row>
    <row r="596" spans="1:10" ht="14.1" customHeight="1" thickBot="1" x14ac:dyDescent="0.25">
      <c r="A596" s="83"/>
      <c r="B596" s="62" t="s">
        <v>1786</v>
      </c>
      <c r="C596" s="60">
        <f>IF(C595="","",IF(AND(MONTH(C595)&gt;=1,MONTH(C595)&lt;=3),1,IF(AND(MONTH(C595)&gt;=4,MONTH(C595)&lt;=6),2,IF(AND(MONTH(C595)&gt;=7,MONTH(C595)&lt;=9),3,4))))</f>
        <v>1</v>
      </c>
      <c r="D596" s="83"/>
      <c r="E596" s="62" t="s">
        <v>13191</v>
      </c>
      <c r="F596" s="61" t="s">
        <v>11111</v>
      </c>
      <c r="G596" s="5"/>
      <c r="H596" s="5"/>
      <c r="I596" s="5"/>
      <c r="J596" s="5"/>
    </row>
    <row r="597" spans="1:10" ht="14.1" customHeight="1" thickBot="1" x14ac:dyDescent="0.25">
      <c r="A597" s="5"/>
      <c r="B597" s="5"/>
      <c r="C597" s="5"/>
      <c r="D597" s="5"/>
      <c r="E597" s="5"/>
      <c r="F597" s="5"/>
      <c r="G597" s="5"/>
      <c r="H597" s="5"/>
      <c r="I597" s="5"/>
      <c r="J597" s="5"/>
    </row>
    <row r="598" spans="1:10" ht="14.1" customHeight="1" thickBot="1" x14ac:dyDescent="0.25">
      <c r="A598" s="67" t="s">
        <v>15735</v>
      </c>
      <c r="B598" s="67" t="s">
        <v>16146</v>
      </c>
      <c r="C598" s="67" t="s">
        <v>15641</v>
      </c>
      <c r="D598" s="67" t="s">
        <v>15251</v>
      </c>
      <c r="E598" s="67" t="s">
        <v>6932</v>
      </c>
      <c r="F598" s="67" t="s">
        <v>15280</v>
      </c>
      <c r="G598" s="5"/>
      <c r="H598" s="5"/>
      <c r="I598" s="5"/>
      <c r="J598" s="5"/>
    </row>
    <row r="599" spans="1:10" ht="13.5" customHeight="1" x14ac:dyDescent="0.2">
      <c r="A599" s="63">
        <v>72101901</v>
      </c>
      <c r="B599" s="64" t="str">
        <f ca="1">IFERROR(INDEX(UNSPSCDes,MATCH(INDIRECT(ADDRESS(ROW(),COLUMN()-1,4)),UNSPSCCode,0)),"")</f>
        <v>Diseño o decoración de interiores</v>
      </c>
      <c r="C599" s="63" t="s">
        <v>1449</v>
      </c>
      <c r="D599" s="63">
        <v>1</v>
      </c>
      <c r="E599" s="66">
        <v>5900</v>
      </c>
      <c r="F599" s="65">
        <f ca="1">INDIRECT(ADDRESS(ROW(),COLUMN()-2,4))*INDIRECT(ADDRESS(ROW(),COLUMN()-1,4))</f>
        <v>5900</v>
      </c>
      <c r="G599" s="5"/>
      <c r="H599" s="5"/>
      <c r="I599" s="5"/>
      <c r="J599" s="5"/>
    </row>
    <row r="600" spans="1:10" ht="13.5" customHeight="1" x14ac:dyDescent="0.2">
      <c r="A600" s="63">
        <v>72101901</v>
      </c>
      <c r="B600" s="64" t="str">
        <f ca="1">IFERROR(INDEX(UNSPSCDes,MATCH(INDIRECT(ADDRESS(ROW(),COLUMN()-1,4)),UNSPSCCode,0)),"")</f>
        <v>Diseño o decoración de interiores</v>
      </c>
      <c r="C600" s="63" t="s">
        <v>1449</v>
      </c>
      <c r="D600" s="63">
        <v>1</v>
      </c>
      <c r="E600" s="66">
        <v>12000</v>
      </c>
      <c r="F600" s="65">
        <f ca="1">INDIRECT(ADDRESS(ROW(),COLUMN()-2,4))*INDIRECT(ADDRESS(ROW(),COLUMN()-1,4))</f>
        <v>12000</v>
      </c>
      <c r="G600" s="5"/>
      <c r="H600" s="5"/>
      <c r="I600" s="5"/>
      <c r="J600" s="5"/>
    </row>
    <row r="601" spans="1:10" ht="14.1" customHeight="1" x14ac:dyDescent="0.2">
      <c r="A601" s="5"/>
      <c r="B601" s="5"/>
      <c r="C601" s="5"/>
      <c r="D601" s="5"/>
      <c r="E601" s="68" t="s">
        <v>12549</v>
      </c>
      <c r="F601" s="69">
        <f ca="1">SUM(Table356[MONTO TOTAL ESTIMADO])</f>
        <v>17900</v>
      </c>
      <c r="G601" s="5"/>
      <c r="H601" s="5" t="str">
        <f>C592</f>
        <v>Servicios</v>
      </c>
      <c r="I601" s="5" t="str">
        <f>E592</f>
        <v>Sí</v>
      </c>
      <c r="J601" s="5" t="str">
        <f>D592</f>
        <v>Compras por debajo del Umbral</v>
      </c>
    </row>
    <row r="602" spans="1:10" ht="14.1" customHeight="1" thickBot="1" x14ac:dyDescent="0.3"/>
    <row r="603" spans="1:10" ht="33.75" customHeight="1" thickBot="1" x14ac:dyDescent="0.25">
      <c r="A603" s="59" t="s">
        <v>16382</v>
      </c>
      <c r="B603" s="59" t="s">
        <v>161</v>
      </c>
      <c r="C603" s="59" t="s">
        <v>11723</v>
      </c>
      <c r="D603" s="59" t="s">
        <v>14377</v>
      </c>
      <c r="E603" s="59" t="s">
        <v>10961</v>
      </c>
      <c r="F603" s="59" t="s">
        <v>11094</v>
      </c>
      <c r="G603" s="5"/>
      <c r="H603" s="5"/>
      <c r="I603" s="5"/>
      <c r="J603" s="5"/>
    </row>
    <row r="604" spans="1:10" ht="14.1" customHeight="1" thickBot="1" x14ac:dyDescent="0.25">
      <c r="A604" s="61" t="s">
        <v>18863</v>
      </c>
      <c r="B604" s="61" t="s">
        <v>18864</v>
      </c>
      <c r="C604" s="61" t="s">
        <v>6798</v>
      </c>
      <c r="D604" s="61" t="s">
        <v>10170</v>
      </c>
      <c r="E604" s="61" t="s">
        <v>6033</v>
      </c>
      <c r="F604" s="61"/>
      <c r="G604" s="5"/>
      <c r="H604" s="5"/>
      <c r="I604" s="5"/>
      <c r="J604" s="5"/>
    </row>
    <row r="605" spans="1:10" ht="14.1" customHeight="1" thickBot="1" x14ac:dyDescent="0.25">
      <c r="A605" s="82" t="s">
        <v>14828</v>
      </c>
      <c r="B605" s="62" t="s">
        <v>8528</v>
      </c>
      <c r="C605" s="71">
        <v>44287</v>
      </c>
      <c r="D605" s="82" t="s">
        <v>9385</v>
      </c>
      <c r="E605" s="62" t="s">
        <v>13092</v>
      </c>
      <c r="F605" s="61" t="s">
        <v>3080</v>
      </c>
      <c r="G605" s="5"/>
      <c r="H605" s="5"/>
      <c r="I605" s="5"/>
      <c r="J605" s="5"/>
    </row>
    <row r="606" spans="1:10" ht="14.1" customHeight="1" thickBot="1" x14ac:dyDescent="0.25">
      <c r="A606" s="83"/>
      <c r="B606" s="62" t="s">
        <v>1786</v>
      </c>
      <c r="C606" s="60">
        <f>IF(C605="","",IF(AND(MONTH(C605)&gt;=1,MONTH(C605)&lt;=3),1,IF(AND(MONTH(C605)&gt;=4,MONTH(C605)&lt;=6),2,IF(AND(MONTH(C605)&gt;=7,MONTH(C605)&lt;=9),3,4))))</f>
        <v>2</v>
      </c>
      <c r="D606" s="83"/>
      <c r="E606" s="62" t="s">
        <v>2417</v>
      </c>
      <c r="F606" s="61" t="s">
        <v>11111</v>
      </c>
      <c r="G606" s="5"/>
      <c r="H606" s="5"/>
      <c r="I606" s="5"/>
      <c r="J606" s="5"/>
    </row>
    <row r="607" spans="1:10" ht="14.1" customHeight="1" thickBot="1" x14ac:dyDescent="0.25">
      <c r="A607" s="83"/>
      <c r="B607" s="62" t="s">
        <v>12941</v>
      </c>
      <c r="C607" s="71">
        <v>44288</v>
      </c>
      <c r="D607" s="83"/>
      <c r="E607" s="62" t="s">
        <v>3073</v>
      </c>
      <c r="F607" s="61" t="s">
        <v>11111</v>
      </c>
      <c r="G607" s="5"/>
      <c r="H607" s="5"/>
      <c r="I607" s="5"/>
      <c r="J607" s="5"/>
    </row>
    <row r="608" spans="1:10" ht="14.1" customHeight="1" thickBot="1" x14ac:dyDescent="0.25">
      <c r="A608" s="83"/>
      <c r="B608" s="62" t="s">
        <v>1786</v>
      </c>
      <c r="C608" s="60">
        <f>IF(C607="","",IF(AND(MONTH(C607)&gt;=1,MONTH(C607)&lt;=3),1,IF(AND(MONTH(C607)&gt;=4,MONTH(C607)&lt;=6),2,IF(AND(MONTH(C607)&gt;=7,MONTH(C607)&lt;=9),3,4))))</f>
        <v>2</v>
      </c>
      <c r="D608" s="83"/>
      <c r="E608" s="62" t="s">
        <v>13191</v>
      </c>
      <c r="F608" s="61" t="s">
        <v>11111</v>
      </c>
      <c r="G608" s="5"/>
      <c r="H608" s="5"/>
      <c r="I608" s="5"/>
      <c r="J608" s="5"/>
    </row>
    <row r="609" spans="1:10" ht="14.1" customHeight="1" thickBot="1" x14ac:dyDescent="0.25">
      <c r="A609" s="5"/>
      <c r="B609" s="5"/>
      <c r="C609" s="5"/>
      <c r="D609" s="5"/>
      <c r="E609" s="5"/>
      <c r="F609" s="5"/>
      <c r="G609" s="5"/>
      <c r="H609" s="5"/>
      <c r="I609" s="5"/>
      <c r="J609" s="5"/>
    </row>
    <row r="610" spans="1:10" ht="14.1" customHeight="1" thickBot="1" x14ac:dyDescent="0.25">
      <c r="A610" s="67" t="s">
        <v>15735</v>
      </c>
      <c r="B610" s="67" t="s">
        <v>16146</v>
      </c>
      <c r="C610" s="67" t="s">
        <v>15641</v>
      </c>
      <c r="D610" s="67" t="s">
        <v>15251</v>
      </c>
      <c r="E610" s="67" t="s">
        <v>6932</v>
      </c>
      <c r="F610" s="67" t="s">
        <v>15280</v>
      </c>
      <c r="G610" s="5"/>
      <c r="H610" s="5"/>
      <c r="I610" s="5"/>
      <c r="J610" s="5"/>
    </row>
    <row r="611" spans="1:10" ht="13.5" customHeight="1" x14ac:dyDescent="0.2">
      <c r="A611" s="63">
        <v>72101901</v>
      </c>
      <c r="B611" s="64" t="str">
        <f ca="1">IFERROR(INDEX(UNSPSCDes,MATCH(INDIRECT(ADDRESS(ROW(),COLUMN()-1,4)),UNSPSCCode,0)),"")</f>
        <v>Diseño o decoración de interiores</v>
      </c>
      <c r="C611" s="63" t="s">
        <v>1449</v>
      </c>
      <c r="D611" s="63">
        <v>1</v>
      </c>
      <c r="E611" s="66">
        <v>5900</v>
      </c>
      <c r="F611" s="65">
        <f ca="1">INDIRECT(ADDRESS(ROW(),COLUMN()-2,4))*INDIRECT(ADDRESS(ROW(),COLUMN()-1,4))</f>
        <v>5900</v>
      </c>
      <c r="G611" s="5"/>
      <c r="H611" s="5"/>
      <c r="I611" s="5"/>
      <c r="J611" s="5"/>
    </row>
    <row r="612" spans="1:10" ht="13.5" customHeight="1" x14ac:dyDescent="0.2">
      <c r="A612" s="63">
        <v>72101901</v>
      </c>
      <c r="B612" s="64" t="str">
        <f ca="1">IFERROR(INDEX(UNSPSCDes,MATCH(INDIRECT(ADDRESS(ROW(),COLUMN()-1,4)),UNSPSCCode,0)),"")</f>
        <v>Diseño o decoración de interiores</v>
      </c>
      <c r="C612" s="63" t="s">
        <v>1449</v>
      </c>
      <c r="D612" s="63">
        <v>1</v>
      </c>
      <c r="E612" s="66">
        <v>12000</v>
      </c>
      <c r="F612" s="65">
        <f ca="1">INDIRECT(ADDRESS(ROW(),COLUMN()-2,4))*INDIRECT(ADDRESS(ROW(),COLUMN()-1,4))</f>
        <v>12000</v>
      </c>
      <c r="G612" s="5"/>
      <c r="H612" s="5"/>
      <c r="I612" s="5"/>
      <c r="J612" s="5"/>
    </row>
    <row r="613" spans="1:10" ht="14.1" customHeight="1" x14ac:dyDescent="0.2">
      <c r="A613" s="5"/>
      <c r="B613" s="5"/>
      <c r="C613" s="5"/>
      <c r="D613" s="5"/>
      <c r="E613" s="68" t="s">
        <v>12549</v>
      </c>
      <c r="F613" s="69">
        <f ca="1">SUM(Table357[MONTO TOTAL ESTIMADO])</f>
        <v>17900</v>
      </c>
      <c r="G613" s="5"/>
      <c r="H613" s="5" t="str">
        <f>C604</f>
        <v>Servicios</v>
      </c>
      <c r="I613" s="5" t="str">
        <f>E604</f>
        <v>MIPYME Mujeres</v>
      </c>
      <c r="J613" s="5" t="str">
        <f>D604</f>
        <v>Compras por debajo del Umbral</v>
      </c>
    </row>
    <row r="614" spans="1:10" ht="14.1" customHeight="1" thickBot="1" x14ac:dyDescent="0.3"/>
    <row r="615" spans="1:10" ht="33.75" customHeight="1" thickBot="1" x14ac:dyDescent="0.25">
      <c r="A615" s="59" t="s">
        <v>16382</v>
      </c>
      <c r="B615" s="59" t="s">
        <v>161</v>
      </c>
      <c r="C615" s="59" t="s">
        <v>11723</v>
      </c>
      <c r="D615" s="59" t="s">
        <v>14377</v>
      </c>
      <c r="E615" s="59" t="s">
        <v>10961</v>
      </c>
      <c r="F615" s="59" t="s">
        <v>11094</v>
      </c>
      <c r="G615" s="5"/>
      <c r="H615" s="5"/>
      <c r="I615" s="5"/>
      <c r="J615" s="5"/>
    </row>
    <row r="616" spans="1:10" ht="14.1" customHeight="1" thickBot="1" x14ac:dyDescent="0.25">
      <c r="A616" s="61" t="s">
        <v>18863</v>
      </c>
      <c r="B616" s="61" t="s">
        <v>18864</v>
      </c>
      <c r="C616" s="61" t="s">
        <v>6798</v>
      </c>
      <c r="D616" s="61" t="s">
        <v>10170</v>
      </c>
      <c r="E616" s="61" t="s">
        <v>6033</v>
      </c>
      <c r="F616" s="61"/>
      <c r="G616" s="5"/>
      <c r="H616" s="5"/>
      <c r="I616" s="5"/>
      <c r="J616" s="5"/>
    </row>
    <row r="617" spans="1:10" ht="14.1" customHeight="1" thickBot="1" x14ac:dyDescent="0.25">
      <c r="A617" s="82" t="s">
        <v>14828</v>
      </c>
      <c r="B617" s="62" t="s">
        <v>8528</v>
      </c>
      <c r="C617" s="71">
        <v>44378</v>
      </c>
      <c r="D617" s="82" t="s">
        <v>9385</v>
      </c>
      <c r="E617" s="62" t="s">
        <v>13092</v>
      </c>
      <c r="F617" s="61" t="s">
        <v>3080</v>
      </c>
      <c r="G617" s="5"/>
      <c r="H617" s="5"/>
      <c r="I617" s="5"/>
      <c r="J617" s="5"/>
    </row>
    <row r="618" spans="1:10" ht="14.1" customHeight="1" thickBot="1" x14ac:dyDescent="0.25">
      <c r="A618" s="83"/>
      <c r="B618" s="62" t="s">
        <v>1786</v>
      </c>
      <c r="C618" s="60">
        <f>IF(C617="","",IF(AND(MONTH(C617)&gt;=1,MONTH(C617)&lt;=3),1,IF(AND(MONTH(C617)&gt;=4,MONTH(C617)&lt;=6),2,IF(AND(MONTH(C617)&gt;=7,MONTH(C617)&lt;=9),3,4))))</f>
        <v>3</v>
      </c>
      <c r="D618" s="83"/>
      <c r="E618" s="62" t="s">
        <v>2417</v>
      </c>
      <c r="F618" s="61" t="s">
        <v>11111</v>
      </c>
      <c r="G618" s="5"/>
      <c r="H618" s="5"/>
      <c r="I618" s="5"/>
      <c r="J618" s="5"/>
    </row>
    <row r="619" spans="1:10" ht="14.1" customHeight="1" thickBot="1" x14ac:dyDescent="0.25">
      <c r="A619" s="83"/>
      <c r="B619" s="62" t="s">
        <v>12941</v>
      </c>
      <c r="C619" s="71">
        <v>44379</v>
      </c>
      <c r="D619" s="83"/>
      <c r="E619" s="62" t="s">
        <v>3073</v>
      </c>
      <c r="F619" s="61" t="s">
        <v>11111</v>
      </c>
      <c r="G619" s="5"/>
      <c r="H619" s="5"/>
      <c r="I619" s="5"/>
      <c r="J619" s="5"/>
    </row>
    <row r="620" spans="1:10" ht="14.1" customHeight="1" thickBot="1" x14ac:dyDescent="0.25">
      <c r="A620" s="83"/>
      <c r="B620" s="62" t="s">
        <v>1786</v>
      </c>
      <c r="C620" s="60">
        <f>IF(C619="","",IF(AND(MONTH(C619)&gt;=1,MONTH(C619)&lt;=3),1,IF(AND(MONTH(C619)&gt;=4,MONTH(C619)&lt;=6),2,IF(AND(MONTH(C619)&gt;=7,MONTH(C619)&lt;=9),3,4))))</f>
        <v>3</v>
      </c>
      <c r="D620" s="83"/>
      <c r="E620" s="62" t="s">
        <v>13191</v>
      </c>
      <c r="F620" s="61" t="s">
        <v>11111</v>
      </c>
      <c r="G620" s="5"/>
      <c r="H620" s="5"/>
      <c r="I620" s="5"/>
      <c r="J620" s="5"/>
    </row>
    <row r="621" spans="1:10" ht="14.1" customHeight="1" thickBot="1" x14ac:dyDescent="0.25">
      <c r="A621" s="5"/>
      <c r="B621" s="5"/>
      <c r="C621" s="5"/>
      <c r="D621" s="5"/>
      <c r="E621" s="5"/>
      <c r="F621" s="5"/>
      <c r="G621" s="5"/>
      <c r="H621" s="5"/>
      <c r="I621" s="5"/>
      <c r="J621" s="5"/>
    </row>
    <row r="622" spans="1:10" ht="14.1" customHeight="1" thickBot="1" x14ac:dyDescent="0.25">
      <c r="A622" s="67" t="s">
        <v>15735</v>
      </c>
      <c r="B622" s="67" t="s">
        <v>16146</v>
      </c>
      <c r="C622" s="67" t="s">
        <v>15641</v>
      </c>
      <c r="D622" s="67" t="s">
        <v>15251</v>
      </c>
      <c r="E622" s="67" t="s">
        <v>6932</v>
      </c>
      <c r="F622" s="67" t="s">
        <v>15280</v>
      </c>
      <c r="G622" s="5"/>
      <c r="H622" s="5"/>
      <c r="I622" s="5"/>
      <c r="J622" s="5"/>
    </row>
    <row r="623" spans="1:10" ht="13.5" customHeight="1" x14ac:dyDescent="0.2">
      <c r="A623" s="63">
        <v>72101901</v>
      </c>
      <c r="B623" s="64" t="str">
        <f ca="1">IFERROR(INDEX(UNSPSCDes,MATCH(INDIRECT(ADDRESS(ROW(),COLUMN()-1,4)),UNSPSCCode,0)),"")</f>
        <v>Diseño o decoración de interiores</v>
      </c>
      <c r="C623" s="63" t="s">
        <v>1449</v>
      </c>
      <c r="D623" s="63">
        <v>1</v>
      </c>
      <c r="E623" s="66">
        <v>5900</v>
      </c>
      <c r="F623" s="65">
        <f ca="1">INDIRECT(ADDRESS(ROW(),COLUMN()-2,4))*INDIRECT(ADDRESS(ROW(),COLUMN()-1,4))</f>
        <v>5900</v>
      </c>
      <c r="G623" s="5"/>
      <c r="H623" s="5"/>
      <c r="I623" s="5"/>
      <c r="J623" s="5"/>
    </row>
    <row r="624" spans="1:10" ht="13.5" customHeight="1" x14ac:dyDescent="0.2">
      <c r="A624" s="63">
        <v>72101901</v>
      </c>
      <c r="B624" s="64" t="str">
        <f ca="1">IFERROR(INDEX(UNSPSCDes,MATCH(INDIRECT(ADDRESS(ROW(),COLUMN()-1,4)),UNSPSCCode,0)),"")</f>
        <v>Diseño o decoración de interiores</v>
      </c>
      <c r="C624" s="63" t="s">
        <v>1449</v>
      </c>
      <c r="D624" s="63">
        <v>1</v>
      </c>
      <c r="E624" s="66">
        <v>12000</v>
      </c>
      <c r="F624" s="65">
        <f ca="1">INDIRECT(ADDRESS(ROW(),COLUMN()-2,4))*INDIRECT(ADDRESS(ROW(),COLUMN()-1,4))</f>
        <v>12000</v>
      </c>
      <c r="G624" s="5"/>
      <c r="H624" s="5"/>
      <c r="I624" s="5"/>
      <c r="J624" s="5"/>
    </row>
    <row r="625" spans="1:10" ht="14.1" customHeight="1" x14ac:dyDescent="0.2">
      <c r="A625" s="5"/>
      <c r="B625" s="5"/>
      <c r="C625" s="5"/>
      <c r="D625" s="5"/>
      <c r="E625" s="68" t="s">
        <v>12549</v>
      </c>
      <c r="F625" s="69">
        <f ca="1">SUM(Table358[MONTO TOTAL ESTIMADO])</f>
        <v>17900</v>
      </c>
      <c r="G625" s="5"/>
      <c r="H625" s="5" t="str">
        <f>C616</f>
        <v>Servicios</v>
      </c>
      <c r="I625" s="5" t="str">
        <f>E616</f>
        <v>MIPYME Mujeres</v>
      </c>
      <c r="J625" s="5" t="str">
        <f>D616</f>
        <v>Compras por debajo del Umbral</v>
      </c>
    </row>
    <row r="626" spans="1:10" ht="14.1" customHeight="1" thickBot="1" x14ac:dyDescent="0.3"/>
    <row r="627" spans="1:10" ht="33.75" customHeight="1" thickBot="1" x14ac:dyDescent="0.25">
      <c r="A627" s="59" t="s">
        <v>16382</v>
      </c>
      <c r="B627" s="59" t="s">
        <v>161</v>
      </c>
      <c r="C627" s="59" t="s">
        <v>11723</v>
      </c>
      <c r="D627" s="59" t="s">
        <v>14377</v>
      </c>
      <c r="E627" s="59" t="s">
        <v>10961</v>
      </c>
      <c r="F627" s="59" t="s">
        <v>11094</v>
      </c>
      <c r="G627" s="5"/>
      <c r="H627" s="5"/>
      <c r="I627" s="5"/>
      <c r="J627" s="5"/>
    </row>
    <row r="628" spans="1:10" ht="14.1" customHeight="1" thickBot="1" x14ac:dyDescent="0.25">
      <c r="A628" s="61" t="s">
        <v>18863</v>
      </c>
      <c r="B628" s="61" t="s">
        <v>18864</v>
      </c>
      <c r="C628" s="61" t="s">
        <v>6798</v>
      </c>
      <c r="D628" s="61" t="s">
        <v>10170</v>
      </c>
      <c r="E628" s="61" t="s">
        <v>6033</v>
      </c>
      <c r="F628" s="61"/>
      <c r="G628" s="5"/>
      <c r="H628" s="5"/>
      <c r="I628" s="5"/>
      <c r="J628" s="5"/>
    </row>
    <row r="629" spans="1:10" ht="14.1" customHeight="1" thickBot="1" x14ac:dyDescent="0.25">
      <c r="A629" s="82" t="s">
        <v>14828</v>
      </c>
      <c r="B629" s="62" t="s">
        <v>8528</v>
      </c>
      <c r="C629" s="71">
        <v>44470</v>
      </c>
      <c r="D629" s="82" t="s">
        <v>9385</v>
      </c>
      <c r="E629" s="62" t="s">
        <v>13092</v>
      </c>
      <c r="F629" s="61" t="s">
        <v>3080</v>
      </c>
      <c r="G629" s="5"/>
      <c r="H629" s="5"/>
      <c r="I629" s="5"/>
      <c r="J629" s="5"/>
    </row>
    <row r="630" spans="1:10" ht="14.1" customHeight="1" thickBot="1" x14ac:dyDescent="0.25">
      <c r="A630" s="83"/>
      <c r="B630" s="62" t="s">
        <v>1786</v>
      </c>
      <c r="C630" s="60">
        <f>IF(C629="","",IF(AND(MONTH(C629)&gt;=1,MONTH(C629)&lt;=3),1,IF(AND(MONTH(C629)&gt;=4,MONTH(C629)&lt;=6),2,IF(AND(MONTH(C629)&gt;=7,MONTH(C629)&lt;=9),3,4))))</f>
        <v>4</v>
      </c>
      <c r="D630" s="83"/>
      <c r="E630" s="62" t="s">
        <v>2417</v>
      </c>
      <c r="F630" s="61" t="s">
        <v>11111</v>
      </c>
      <c r="G630" s="5"/>
      <c r="H630" s="5"/>
      <c r="I630" s="5"/>
      <c r="J630" s="5"/>
    </row>
    <row r="631" spans="1:10" ht="14.1" customHeight="1" thickBot="1" x14ac:dyDescent="0.25">
      <c r="A631" s="83"/>
      <c r="B631" s="62" t="s">
        <v>12941</v>
      </c>
      <c r="C631" s="71">
        <v>44473</v>
      </c>
      <c r="D631" s="83"/>
      <c r="E631" s="62" t="s">
        <v>3073</v>
      </c>
      <c r="F631" s="61" t="s">
        <v>11111</v>
      </c>
      <c r="G631" s="5"/>
      <c r="H631" s="5"/>
      <c r="I631" s="5"/>
      <c r="J631" s="5"/>
    </row>
    <row r="632" spans="1:10" ht="14.1" customHeight="1" thickBot="1" x14ac:dyDescent="0.25">
      <c r="A632" s="83"/>
      <c r="B632" s="62" t="s">
        <v>1786</v>
      </c>
      <c r="C632" s="60">
        <f>IF(C631="","",IF(AND(MONTH(C631)&gt;=1,MONTH(C631)&lt;=3),1,IF(AND(MONTH(C631)&gt;=4,MONTH(C631)&lt;=6),2,IF(AND(MONTH(C631)&gt;=7,MONTH(C631)&lt;=9),3,4))))</f>
        <v>4</v>
      </c>
      <c r="D632" s="83"/>
      <c r="E632" s="62" t="s">
        <v>13191</v>
      </c>
      <c r="F632" s="61" t="s">
        <v>11111</v>
      </c>
      <c r="G632" s="5"/>
      <c r="H632" s="5"/>
      <c r="I632" s="5"/>
      <c r="J632" s="5"/>
    </row>
    <row r="633" spans="1:10" ht="14.1" customHeight="1" thickBot="1" x14ac:dyDescent="0.25">
      <c r="A633" s="5"/>
      <c r="B633" s="5"/>
      <c r="C633" s="5"/>
      <c r="D633" s="5"/>
      <c r="E633" s="5"/>
      <c r="F633" s="5"/>
      <c r="G633" s="5"/>
      <c r="H633" s="5"/>
      <c r="I633" s="5"/>
      <c r="J633" s="5"/>
    </row>
    <row r="634" spans="1:10" ht="14.1" customHeight="1" thickBot="1" x14ac:dyDescent="0.25">
      <c r="A634" s="67" t="s">
        <v>15735</v>
      </c>
      <c r="B634" s="67" t="s">
        <v>16146</v>
      </c>
      <c r="C634" s="67" t="s">
        <v>15641</v>
      </c>
      <c r="D634" s="67" t="s">
        <v>15251</v>
      </c>
      <c r="E634" s="67" t="s">
        <v>6932</v>
      </c>
      <c r="F634" s="67" t="s">
        <v>15280</v>
      </c>
      <c r="G634" s="5"/>
      <c r="H634" s="5"/>
      <c r="I634" s="5"/>
      <c r="J634" s="5"/>
    </row>
    <row r="635" spans="1:10" ht="13.5" customHeight="1" x14ac:dyDescent="0.2">
      <c r="A635" s="63">
        <v>72101901</v>
      </c>
      <c r="B635" s="64" t="str">
        <f ca="1">IFERROR(INDEX(UNSPSCDes,MATCH(INDIRECT(ADDRESS(ROW(),COLUMN()-1,4)),UNSPSCCode,0)),"")</f>
        <v>Diseño o decoración de interiores</v>
      </c>
      <c r="C635" s="63" t="s">
        <v>1449</v>
      </c>
      <c r="D635" s="63">
        <v>1</v>
      </c>
      <c r="E635" s="66">
        <v>5900</v>
      </c>
      <c r="F635" s="65">
        <f ca="1">INDIRECT(ADDRESS(ROW(),COLUMN()-2,4))*INDIRECT(ADDRESS(ROW(),COLUMN()-1,4))</f>
        <v>5900</v>
      </c>
      <c r="G635" s="5"/>
      <c r="H635" s="5"/>
      <c r="I635" s="5"/>
      <c r="J635" s="5"/>
    </row>
    <row r="636" spans="1:10" ht="13.5" customHeight="1" x14ac:dyDescent="0.2">
      <c r="A636" s="63">
        <v>72101901</v>
      </c>
      <c r="B636" s="64" t="str">
        <f ca="1">IFERROR(INDEX(UNSPSCDes,MATCH(INDIRECT(ADDRESS(ROW(),COLUMN()-1,4)),UNSPSCCode,0)),"")</f>
        <v>Diseño o decoración de interiores</v>
      </c>
      <c r="C636" s="63" t="s">
        <v>1449</v>
      </c>
      <c r="D636" s="63">
        <v>1</v>
      </c>
      <c r="E636" s="66">
        <v>12000</v>
      </c>
      <c r="F636" s="65">
        <f ca="1">INDIRECT(ADDRESS(ROW(),COLUMN()-2,4))*INDIRECT(ADDRESS(ROW(),COLUMN()-1,4))</f>
        <v>12000</v>
      </c>
      <c r="G636" s="5"/>
      <c r="H636" s="5"/>
      <c r="I636" s="5"/>
      <c r="J636" s="5"/>
    </row>
    <row r="637" spans="1:10" ht="14.1" customHeight="1" x14ac:dyDescent="0.2">
      <c r="A637" s="5"/>
      <c r="B637" s="5"/>
      <c r="C637" s="5"/>
      <c r="D637" s="5"/>
      <c r="E637" s="68" t="s">
        <v>12549</v>
      </c>
      <c r="F637" s="69">
        <f ca="1">SUM(Table359[MONTO TOTAL ESTIMADO])</f>
        <v>17900</v>
      </c>
      <c r="G637" s="5"/>
      <c r="H637" s="5" t="str">
        <f>C628</f>
        <v>Servicios</v>
      </c>
      <c r="I637" s="5" t="str">
        <f>E628</f>
        <v>MIPYME Mujeres</v>
      </c>
      <c r="J637" s="5" t="str">
        <f>D628</f>
        <v>Compras por debajo del Umbral</v>
      </c>
    </row>
    <row r="638" spans="1:10" ht="14.1" customHeight="1" thickBot="1" x14ac:dyDescent="0.3"/>
    <row r="639" spans="1:10" ht="33.75" customHeight="1" thickBot="1" x14ac:dyDescent="0.25">
      <c r="A639" s="59" t="s">
        <v>16382</v>
      </c>
      <c r="B639" s="59" t="s">
        <v>161</v>
      </c>
      <c r="C639" s="59" t="s">
        <v>11723</v>
      </c>
      <c r="D639" s="59" t="s">
        <v>14377</v>
      </c>
      <c r="E639" s="59" t="s">
        <v>10961</v>
      </c>
      <c r="F639" s="59" t="s">
        <v>11094</v>
      </c>
      <c r="G639" s="5"/>
      <c r="H639" s="5"/>
      <c r="I639" s="5"/>
      <c r="J639" s="5"/>
    </row>
    <row r="640" spans="1:10" ht="14.1" customHeight="1" thickBot="1" x14ac:dyDescent="0.25">
      <c r="A640" s="61" t="s">
        <v>18865</v>
      </c>
      <c r="B640" s="61" t="s">
        <v>18866</v>
      </c>
      <c r="C640" s="61" t="s">
        <v>6798</v>
      </c>
      <c r="D640" s="61" t="s">
        <v>10170</v>
      </c>
      <c r="E640" s="61" t="s">
        <v>6033</v>
      </c>
      <c r="F640" s="61"/>
      <c r="G640" s="5"/>
      <c r="H640" s="5"/>
      <c r="I640" s="5"/>
      <c r="J640" s="5"/>
    </row>
    <row r="641" spans="1:10" ht="14.1" customHeight="1" thickBot="1" x14ac:dyDescent="0.25">
      <c r="A641" s="82" t="s">
        <v>14828</v>
      </c>
      <c r="B641" s="62" t="s">
        <v>8528</v>
      </c>
      <c r="C641" s="71">
        <v>44470</v>
      </c>
      <c r="D641" s="82" t="s">
        <v>9385</v>
      </c>
      <c r="E641" s="62" t="s">
        <v>13092</v>
      </c>
      <c r="F641" s="61" t="s">
        <v>3080</v>
      </c>
      <c r="G641" s="5"/>
      <c r="H641" s="5"/>
      <c r="I641" s="5"/>
      <c r="J641" s="5"/>
    </row>
    <row r="642" spans="1:10" ht="14.1" customHeight="1" thickBot="1" x14ac:dyDescent="0.25">
      <c r="A642" s="83"/>
      <c r="B642" s="62" t="s">
        <v>1786</v>
      </c>
      <c r="C642" s="60">
        <f>IF(C641="","",IF(AND(MONTH(C641)&gt;=1,MONTH(C641)&lt;=3),1,IF(AND(MONTH(C641)&gt;=4,MONTH(C641)&lt;=6),2,IF(AND(MONTH(C641)&gt;=7,MONTH(C641)&lt;=9),3,4))))</f>
        <v>4</v>
      </c>
      <c r="D642" s="83"/>
      <c r="E642" s="62" t="s">
        <v>2417</v>
      </c>
      <c r="F642" s="61" t="s">
        <v>11111</v>
      </c>
      <c r="G642" s="5"/>
      <c r="H642" s="5"/>
      <c r="I642" s="5"/>
      <c r="J642" s="5"/>
    </row>
    <row r="643" spans="1:10" ht="14.1" customHeight="1" thickBot="1" x14ac:dyDescent="0.25">
      <c r="A643" s="83"/>
      <c r="B643" s="62" t="s">
        <v>12941</v>
      </c>
      <c r="C643" s="71">
        <v>44473</v>
      </c>
      <c r="D643" s="83"/>
      <c r="E643" s="62" t="s">
        <v>3073</v>
      </c>
      <c r="F643" s="61" t="s">
        <v>11111</v>
      </c>
      <c r="G643" s="5"/>
      <c r="H643" s="5"/>
      <c r="I643" s="5"/>
      <c r="J643" s="5"/>
    </row>
    <row r="644" spans="1:10" ht="14.1" customHeight="1" thickBot="1" x14ac:dyDescent="0.25">
      <c r="A644" s="83"/>
      <c r="B644" s="62" t="s">
        <v>1786</v>
      </c>
      <c r="C644" s="60">
        <f>IF(C643="","",IF(AND(MONTH(C643)&gt;=1,MONTH(C643)&lt;=3),1,IF(AND(MONTH(C643)&gt;=4,MONTH(C643)&lt;=6),2,IF(AND(MONTH(C643)&gt;=7,MONTH(C643)&lt;=9),3,4))))</f>
        <v>4</v>
      </c>
      <c r="D644" s="83"/>
      <c r="E644" s="62" t="s">
        <v>13191</v>
      </c>
      <c r="F644" s="61" t="s">
        <v>11111</v>
      </c>
      <c r="G644" s="5"/>
      <c r="H644" s="5"/>
      <c r="I644" s="5"/>
      <c r="J644" s="5"/>
    </row>
    <row r="645" spans="1:10" ht="14.1" customHeight="1" thickBot="1" x14ac:dyDescent="0.25">
      <c r="A645" s="5"/>
      <c r="B645" s="5"/>
      <c r="C645" s="5"/>
      <c r="D645" s="5"/>
      <c r="E645" s="5"/>
      <c r="F645" s="5"/>
      <c r="G645" s="5"/>
      <c r="H645" s="5"/>
      <c r="I645" s="5"/>
      <c r="J645" s="5"/>
    </row>
    <row r="646" spans="1:10" ht="14.1" customHeight="1" thickBot="1" x14ac:dyDescent="0.25">
      <c r="A646" s="67" t="s">
        <v>15735</v>
      </c>
      <c r="B646" s="67" t="s">
        <v>16146</v>
      </c>
      <c r="C646" s="67" t="s">
        <v>15641</v>
      </c>
      <c r="D646" s="67" t="s">
        <v>15251</v>
      </c>
      <c r="E646" s="67" t="s">
        <v>6932</v>
      </c>
      <c r="F646" s="67" t="s">
        <v>15280</v>
      </c>
      <c r="G646" s="5"/>
      <c r="H646" s="5"/>
      <c r="I646" s="5"/>
      <c r="J646" s="5"/>
    </row>
    <row r="647" spans="1:10" ht="13.5" customHeight="1" x14ac:dyDescent="0.2">
      <c r="A647" s="63">
        <v>82151701</v>
      </c>
      <c r="B647" s="64" t="str">
        <f ca="1">IFERROR(INDEX(UNSPSCDes,MATCH(INDIRECT(ADDRESS(ROW(),COLUMN()-1,4)),UNSPSCCode,0)),"")</f>
        <v>Servicios de actuación</v>
      </c>
      <c r="C647" s="63" t="s">
        <v>1449</v>
      </c>
      <c r="D647" s="63">
        <v>1</v>
      </c>
      <c r="E647" s="66">
        <v>25000</v>
      </c>
      <c r="F647" s="65">
        <f ca="1">INDIRECT(ADDRESS(ROW(),COLUMN()-2,4))*INDIRECT(ADDRESS(ROW(),COLUMN()-1,4))</f>
        <v>25000</v>
      </c>
      <c r="G647" s="5"/>
      <c r="H647" s="5"/>
      <c r="I647" s="5"/>
      <c r="J647" s="5"/>
    </row>
    <row r="648" spans="1:10" ht="14.1" customHeight="1" x14ac:dyDescent="0.2">
      <c r="A648" s="5"/>
      <c r="B648" s="5"/>
      <c r="C648" s="5"/>
      <c r="D648" s="5"/>
      <c r="E648" s="68" t="s">
        <v>12549</v>
      </c>
      <c r="F648" s="69">
        <f ca="1">SUM(Table360[MONTO TOTAL ESTIMADO])</f>
        <v>25000</v>
      </c>
      <c r="G648" s="5"/>
      <c r="H648" s="5" t="str">
        <f>C640</f>
        <v>Servicios</v>
      </c>
      <c r="I648" s="5" t="str">
        <f>E640</f>
        <v>MIPYME Mujeres</v>
      </c>
      <c r="J648" s="5" t="str">
        <f>D640</f>
        <v>Compras por debajo del Umbral</v>
      </c>
    </row>
    <row r="649" spans="1:10" ht="14.1" customHeight="1" thickBot="1" x14ac:dyDescent="0.3"/>
    <row r="650" spans="1:10" ht="33.75" customHeight="1" thickBot="1" x14ac:dyDescent="0.25">
      <c r="A650" s="59" t="s">
        <v>16382</v>
      </c>
      <c r="B650" s="59" t="s">
        <v>161</v>
      </c>
      <c r="C650" s="59" t="s">
        <v>11723</v>
      </c>
      <c r="D650" s="59" t="s">
        <v>14377</v>
      </c>
      <c r="E650" s="59" t="s">
        <v>10961</v>
      </c>
      <c r="F650" s="59" t="s">
        <v>11094</v>
      </c>
      <c r="G650" s="5"/>
      <c r="H650" s="5"/>
      <c r="I650" s="5"/>
      <c r="J650" s="5"/>
    </row>
    <row r="651" spans="1:10" ht="14.1" customHeight="1" thickBot="1" x14ac:dyDescent="0.25">
      <c r="A651" s="61" t="s">
        <v>18867</v>
      </c>
      <c r="B651" s="61" t="s">
        <v>18868</v>
      </c>
      <c r="C651" s="61" t="s">
        <v>6798</v>
      </c>
      <c r="D651" s="61" t="s">
        <v>10170</v>
      </c>
      <c r="E651" s="61" t="s">
        <v>8854</v>
      </c>
      <c r="F651" s="61"/>
      <c r="G651" s="5"/>
      <c r="H651" s="5"/>
      <c r="I651" s="5"/>
      <c r="J651" s="5"/>
    </row>
    <row r="652" spans="1:10" ht="14.1" customHeight="1" thickBot="1" x14ac:dyDescent="0.25">
      <c r="A652" s="82" t="s">
        <v>14828</v>
      </c>
      <c r="B652" s="62" t="s">
        <v>8528</v>
      </c>
      <c r="C652" s="71">
        <v>44197</v>
      </c>
      <c r="D652" s="82" t="s">
        <v>9385</v>
      </c>
      <c r="E652" s="62" t="s">
        <v>13092</v>
      </c>
      <c r="F652" s="61" t="s">
        <v>3080</v>
      </c>
      <c r="G652" s="5"/>
      <c r="H652" s="5"/>
      <c r="I652" s="5"/>
      <c r="J652" s="5"/>
    </row>
    <row r="653" spans="1:10" ht="14.1" customHeight="1" thickBot="1" x14ac:dyDescent="0.25">
      <c r="A653" s="83"/>
      <c r="B653" s="62" t="s">
        <v>1786</v>
      </c>
      <c r="C653" s="60">
        <f>IF(C652="","",IF(AND(MONTH(C652)&gt;=1,MONTH(C652)&lt;=3),1,IF(AND(MONTH(C652)&gt;=4,MONTH(C652)&lt;=6),2,IF(AND(MONTH(C652)&gt;=7,MONTH(C652)&lt;=9),3,4))))</f>
        <v>1</v>
      </c>
      <c r="D653" s="83"/>
      <c r="E653" s="62" t="s">
        <v>2417</v>
      </c>
      <c r="F653" s="61" t="s">
        <v>11111</v>
      </c>
      <c r="G653" s="5"/>
      <c r="H653" s="5"/>
      <c r="I653" s="5"/>
      <c r="J653" s="5"/>
    </row>
    <row r="654" spans="1:10" ht="14.1" customHeight="1" thickBot="1" x14ac:dyDescent="0.25">
      <c r="A654" s="83"/>
      <c r="B654" s="62" t="s">
        <v>12941</v>
      </c>
      <c r="C654" s="71">
        <v>44198</v>
      </c>
      <c r="D654" s="83"/>
      <c r="E654" s="62" t="s">
        <v>3073</v>
      </c>
      <c r="F654" s="61" t="s">
        <v>11111</v>
      </c>
      <c r="G654" s="5"/>
      <c r="H654" s="5"/>
      <c r="I654" s="5"/>
      <c r="J654" s="5"/>
    </row>
    <row r="655" spans="1:10" ht="14.1" customHeight="1" thickBot="1" x14ac:dyDescent="0.25">
      <c r="A655" s="83"/>
      <c r="B655" s="62" t="s">
        <v>1786</v>
      </c>
      <c r="C655" s="60">
        <f>IF(C654="","",IF(AND(MONTH(C654)&gt;=1,MONTH(C654)&lt;=3),1,IF(AND(MONTH(C654)&gt;=4,MONTH(C654)&lt;=6),2,IF(AND(MONTH(C654)&gt;=7,MONTH(C654)&lt;=9),3,4))))</f>
        <v>1</v>
      </c>
      <c r="D655" s="83"/>
      <c r="E655" s="62" t="s">
        <v>13191</v>
      </c>
      <c r="F655" s="61" t="s">
        <v>11111</v>
      </c>
      <c r="G655" s="5"/>
      <c r="H655" s="5"/>
      <c r="I655" s="5"/>
      <c r="J655" s="5"/>
    </row>
    <row r="656" spans="1:10" ht="14.1" customHeight="1" thickBot="1" x14ac:dyDescent="0.25">
      <c r="A656" s="5"/>
      <c r="B656" s="5"/>
      <c r="C656" s="5"/>
      <c r="D656" s="5"/>
      <c r="E656" s="5"/>
      <c r="F656" s="5"/>
      <c r="G656" s="5"/>
      <c r="H656" s="5"/>
      <c r="I656" s="5"/>
      <c r="J656" s="5"/>
    </row>
    <row r="657" spans="1:10" ht="14.1" customHeight="1" thickBot="1" x14ac:dyDescent="0.25">
      <c r="A657" s="67" t="s">
        <v>15735</v>
      </c>
      <c r="B657" s="67" t="s">
        <v>16146</v>
      </c>
      <c r="C657" s="67" t="s">
        <v>15641</v>
      </c>
      <c r="D657" s="67" t="s">
        <v>15251</v>
      </c>
      <c r="E657" s="67" t="s">
        <v>6932</v>
      </c>
      <c r="F657" s="67" t="s">
        <v>15280</v>
      </c>
      <c r="G657" s="5"/>
      <c r="H657" s="5"/>
      <c r="I657" s="5"/>
      <c r="J657" s="5"/>
    </row>
    <row r="658" spans="1:10" ht="27" customHeight="1" x14ac:dyDescent="0.2">
      <c r="A658" s="63">
        <v>80121601</v>
      </c>
      <c r="B658" s="64" t="str">
        <f ca="1">IFERROR(INDEX(UNSPSCDes,MATCH(INDIRECT(ADDRESS(ROW(),COLUMN()-1,4)),UNSPSCCode,0)),"")</f>
        <v>Servicios legales sobre competencia o regulaciones gubernamentales</v>
      </c>
      <c r="C658" s="63" t="s">
        <v>1449</v>
      </c>
      <c r="D658" s="63">
        <v>1</v>
      </c>
      <c r="E658" s="66">
        <v>7500</v>
      </c>
      <c r="F658" s="65">
        <f ca="1">INDIRECT(ADDRESS(ROW(),COLUMN()-2,4))*INDIRECT(ADDRESS(ROW(),COLUMN()-1,4))</f>
        <v>7500</v>
      </c>
      <c r="G658" s="5"/>
      <c r="H658" s="5"/>
      <c r="I658" s="5"/>
      <c r="J658" s="5"/>
    </row>
    <row r="659" spans="1:10" ht="14.1" customHeight="1" x14ac:dyDescent="0.2">
      <c r="A659" s="5"/>
      <c r="B659" s="5"/>
      <c r="C659" s="5"/>
      <c r="D659" s="5"/>
      <c r="E659" s="68" t="s">
        <v>12549</v>
      </c>
      <c r="F659" s="69">
        <f ca="1">SUM(Table361[MONTO TOTAL ESTIMADO])</f>
        <v>7500</v>
      </c>
      <c r="G659" s="5"/>
      <c r="H659" s="5" t="str">
        <f>C651</f>
        <v>Servicios</v>
      </c>
      <c r="I659" s="5" t="str">
        <f>E651</f>
        <v>Sí</v>
      </c>
      <c r="J659" s="5" t="str">
        <f>D651</f>
        <v>Compras por debajo del Umbral</v>
      </c>
    </row>
    <row r="660" spans="1:10" ht="14.1" customHeight="1" thickBot="1" x14ac:dyDescent="0.3"/>
    <row r="661" spans="1:10" ht="33.75" customHeight="1" thickBot="1" x14ac:dyDescent="0.25">
      <c r="A661" s="59" t="s">
        <v>16382</v>
      </c>
      <c r="B661" s="59" t="s">
        <v>161</v>
      </c>
      <c r="C661" s="59" t="s">
        <v>11723</v>
      </c>
      <c r="D661" s="59" t="s">
        <v>14377</v>
      </c>
      <c r="E661" s="59" t="s">
        <v>10961</v>
      </c>
      <c r="F661" s="59" t="s">
        <v>11094</v>
      </c>
      <c r="G661" s="5"/>
      <c r="H661" s="5"/>
      <c r="I661" s="5"/>
      <c r="J661" s="5"/>
    </row>
    <row r="662" spans="1:10" ht="14.1" customHeight="1" thickBot="1" x14ac:dyDescent="0.25">
      <c r="A662" s="61" t="s">
        <v>18867</v>
      </c>
      <c r="B662" s="61" t="s">
        <v>18868</v>
      </c>
      <c r="C662" s="61" t="s">
        <v>6798</v>
      </c>
      <c r="D662" s="61" t="s">
        <v>10170</v>
      </c>
      <c r="E662" s="61" t="s">
        <v>8854</v>
      </c>
      <c r="F662" s="61"/>
      <c r="G662" s="5"/>
      <c r="H662" s="5"/>
      <c r="I662" s="5"/>
      <c r="J662" s="5"/>
    </row>
    <row r="663" spans="1:10" ht="14.1" customHeight="1" thickBot="1" x14ac:dyDescent="0.25">
      <c r="A663" s="82" t="s">
        <v>14828</v>
      </c>
      <c r="B663" s="62" t="s">
        <v>8528</v>
      </c>
      <c r="C663" s="71">
        <v>44287</v>
      </c>
      <c r="D663" s="82" t="s">
        <v>9385</v>
      </c>
      <c r="E663" s="62" t="s">
        <v>13092</v>
      </c>
      <c r="F663" s="61" t="s">
        <v>3080</v>
      </c>
      <c r="G663" s="5"/>
      <c r="H663" s="5"/>
      <c r="I663" s="5"/>
      <c r="J663" s="5"/>
    </row>
    <row r="664" spans="1:10" ht="14.1" customHeight="1" thickBot="1" x14ac:dyDescent="0.25">
      <c r="A664" s="83"/>
      <c r="B664" s="62" t="s">
        <v>1786</v>
      </c>
      <c r="C664" s="60">
        <f>IF(C663="","",IF(AND(MONTH(C663)&gt;=1,MONTH(C663)&lt;=3),1,IF(AND(MONTH(C663)&gt;=4,MONTH(C663)&lt;=6),2,IF(AND(MONTH(C663)&gt;=7,MONTH(C663)&lt;=9),3,4))))</f>
        <v>2</v>
      </c>
      <c r="D664" s="83"/>
      <c r="E664" s="62" t="s">
        <v>2417</v>
      </c>
      <c r="F664" s="61" t="s">
        <v>11111</v>
      </c>
      <c r="G664" s="5"/>
      <c r="H664" s="5"/>
      <c r="I664" s="5"/>
      <c r="J664" s="5"/>
    </row>
    <row r="665" spans="1:10" ht="14.1" customHeight="1" thickBot="1" x14ac:dyDescent="0.25">
      <c r="A665" s="83"/>
      <c r="B665" s="62" t="s">
        <v>12941</v>
      </c>
      <c r="C665" s="71">
        <v>44288</v>
      </c>
      <c r="D665" s="83"/>
      <c r="E665" s="62" t="s">
        <v>3073</v>
      </c>
      <c r="F665" s="61" t="s">
        <v>11111</v>
      </c>
      <c r="G665" s="5"/>
      <c r="H665" s="5"/>
      <c r="I665" s="5"/>
      <c r="J665" s="5"/>
    </row>
    <row r="666" spans="1:10" ht="14.1" customHeight="1" thickBot="1" x14ac:dyDescent="0.25">
      <c r="A666" s="83"/>
      <c r="B666" s="62" t="s">
        <v>1786</v>
      </c>
      <c r="C666" s="60">
        <f>IF(C665="","",IF(AND(MONTH(C665)&gt;=1,MONTH(C665)&lt;=3),1,IF(AND(MONTH(C665)&gt;=4,MONTH(C665)&lt;=6),2,IF(AND(MONTH(C665)&gt;=7,MONTH(C665)&lt;=9),3,4))))</f>
        <v>2</v>
      </c>
      <c r="D666" s="83"/>
      <c r="E666" s="62" t="s">
        <v>13191</v>
      </c>
      <c r="F666" s="61" t="s">
        <v>11111</v>
      </c>
      <c r="G666" s="5"/>
      <c r="H666" s="5"/>
      <c r="I666" s="5"/>
      <c r="J666" s="5"/>
    </row>
    <row r="667" spans="1:10" ht="14.1" customHeight="1" thickBot="1" x14ac:dyDescent="0.25">
      <c r="A667" s="5"/>
      <c r="B667" s="5"/>
      <c r="C667" s="5"/>
      <c r="D667" s="5"/>
      <c r="E667" s="5"/>
      <c r="F667" s="5"/>
      <c r="G667" s="5"/>
      <c r="H667" s="5"/>
      <c r="I667" s="5"/>
      <c r="J667" s="5"/>
    </row>
    <row r="668" spans="1:10" ht="14.1" customHeight="1" thickBot="1" x14ac:dyDescent="0.25">
      <c r="A668" s="67" t="s">
        <v>15735</v>
      </c>
      <c r="B668" s="67" t="s">
        <v>16146</v>
      </c>
      <c r="C668" s="67" t="s">
        <v>15641</v>
      </c>
      <c r="D668" s="67" t="s">
        <v>15251</v>
      </c>
      <c r="E668" s="67" t="s">
        <v>6932</v>
      </c>
      <c r="F668" s="67" t="s">
        <v>15280</v>
      </c>
      <c r="G668" s="5"/>
      <c r="H668" s="5"/>
      <c r="I668" s="5"/>
      <c r="J668" s="5"/>
    </row>
    <row r="669" spans="1:10" ht="27" customHeight="1" x14ac:dyDescent="0.2">
      <c r="A669" s="63">
        <v>80121601</v>
      </c>
      <c r="B669" s="64" t="str">
        <f ca="1">IFERROR(INDEX(UNSPSCDes,MATCH(INDIRECT(ADDRESS(ROW(),COLUMN()-1,4)),UNSPSCCode,0)),"")</f>
        <v>Servicios legales sobre competencia o regulaciones gubernamentales</v>
      </c>
      <c r="C669" s="63" t="s">
        <v>1449</v>
      </c>
      <c r="D669" s="63">
        <v>1</v>
      </c>
      <c r="E669" s="66">
        <v>7500</v>
      </c>
      <c r="F669" s="65">
        <f ca="1">INDIRECT(ADDRESS(ROW(),COLUMN()-2,4))*INDIRECT(ADDRESS(ROW(),COLUMN()-1,4))</f>
        <v>7500</v>
      </c>
      <c r="G669" s="5"/>
      <c r="H669" s="5"/>
      <c r="I669" s="5"/>
      <c r="J669" s="5"/>
    </row>
    <row r="670" spans="1:10" ht="14.1" customHeight="1" x14ac:dyDescent="0.2">
      <c r="A670" s="5"/>
      <c r="B670" s="5"/>
      <c r="C670" s="5"/>
      <c r="D670" s="5"/>
      <c r="E670" s="68" t="s">
        <v>12549</v>
      </c>
      <c r="F670" s="69">
        <f ca="1">SUM(Table362[MONTO TOTAL ESTIMADO])</f>
        <v>7500</v>
      </c>
      <c r="G670" s="5"/>
      <c r="H670" s="5" t="str">
        <f>C662</f>
        <v>Servicios</v>
      </c>
      <c r="I670" s="5" t="str">
        <f>E662</f>
        <v>Sí</v>
      </c>
      <c r="J670" s="5" t="str">
        <f>D662</f>
        <v>Compras por debajo del Umbral</v>
      </c>
    </row>
    <row r="671" spans="1:10" ht="14.1" customHeight="1" thickBot="1" x14ac:dyDescent="0.3"/>
    <row r="672" spans="1:10" ht="33.75" customHeight="1" thickBot="1" x14ac:dyDescent="0.25">
      <c r="A672" s="59" t="s">
        <v>16382</v>
      </c>
      <c r="B672" s="59" t="s">
        <v>161</v>
      </c>
      <c r="C672" s="59" t="s">
        <v>11723</v>
      </c>
      <c r="D672" s="59" t="s">
        <v>14377</v>
      </c>
      <c r="E672" s="59" t="s">
        <v>10961</v>
      </c>
      <c r="F672" s="59" t="s">
        <v>11094</v>
      </c>
      <c r="G672" s="5"/>
      <c r="H672" s="5"/>
      <c r="I672" s="5"/>
      <c r="J672" s="5"/>
    </row>
    <row r="673" spans="1:10" ht="14.1" customHeight="1" thickBot="1" x14ac:dyDescent="0.25">
      <c r="A673" s="61" t="s">
        <v>18867</v>
      </c>
      <c r="B673" s="61" t="s">
        <v>18868</v>
      </c>
      <c r="C673" s="61" t="s">
        <v>6798</v>
      </c>
      <c r="D673" s="61" t="s">
        <v>10170</v>
      </c>
      <c r="E673" s="61" t="s">
        <v>8854</v>
      </c>
      <c r="F673" s="61"/>
      <c r="G673" s="5"/>
      <c r="H673" s="5"/>
      <c r="I673" s="5"/>
      <c r="J673" s="5"/>
    </row>
    <row r="674" spans="1:10" ht="14.1" customHeight="1" thickBot="1" x14ac:dyDescent="0.25">
      <c r="A674" s="82" t="s">
        <v>14828</v>
      </c>
      <c r="B674" s="62" t="s">
        <v>8528</v>
      </c>
      <c r="C674" s="71">
        <v>44378</v>
      </c>
      <c r="D674" s="82" t="s">
        <v>9385</v>
      </c>
      <c r="E674" s="62" t="s">
        <v>13092</v>
      </c>
      <c r="F674" s="61" t="s">
        <v>3080</v>
      </c>
      <c r="G674" s="5"/>
      <c r="H674" s="5"/>
      <c r="I674" s="5"/>
      <c r="J674" s="5"/>
    </row>
    <row r="675" spans="1:10" ht="14.1" customHeight="1" thickBot="1" x14ac:dyDescent="0.25">
      <c r="A675" s="83"/>
      <c r="B675" s="62" t="s">
        <v>1786</v>
      </c>
      <c r="C675" s="60">
        <f>IF(C674="","",IF(AND(MONTH(C674)&gt;=1,MONTH(C674)&lt;=3),1,IF(AND(MONTH(C674)&gt;=4,MONTH(C674)&lt;=6),2,IF(AND(MONTH(C674)&gt;=7,MONTH(C674)&lt;=9),3,4))))</f>
        <v>3</v>
      </c>
      <c r="D675" s="83"/>
      <c r="E675" s="62" t="s">
        <v>2417</v>
      </c>
      <c r="F675" s="61" t="s">
        <v>11111</v>
      </c>
      <c r="G675" s="5"/>
      <c r="H675" s="5"/>
      <c r="I675" s="5"/>
      <c r="J675" s="5"/>
    </row>
    <row r="676" spans="1:10" ht="14.1" customHeight="1" thickBot="1" x14ac:dyDescent="0.25">
      <c r="A676" s="83"/>
      <c r="B676" s="62" t="s">
        <v>12941</v>
      </c>
      <c r="C676" s="71">
        <v>44379</v>
      </c>
      <c r="D676" s="83"/>
      <c r="E676" s="62" t="s">
        <v>3073</v>
      </c>
      <c r="F676" s="61" t="s">
        <v>11111</v>
      </c>
      <c r="G676" s="5"/>
      <c r="H676" s="5"/>
      <c r="I676" s="5"/>
      <c r="J676" s="5"/>
    </row>
    <row r="677" spans="1:10" ht="14.1" customHeight="1" thickBot="1" x14ac:dyDescent="0.25">
      <c r="A677" s="83"/>
      <c r="B677" s="62" t="s">
        <v>1786</v>
      </c>
      <c r="C677" s="60">
        <f>IF(C676="","",IF(AND(MONTH(C676)&gt;=1,MONTH(C676)&lt;=3),1,IF(AND(MONTH(C676)&gt;=4,MONTH(C676)&lt;=6),2,IF(AND(MONTH(C676)&gt;=7,MONTH(C676)&lt;=9),3,4))))</f>
        <v>3</v>
      </c>
      <c r="D677" s="83"/>
      <c r="E677" s="62" t="s">
        <v>13191</v>
      </c>
      <c r="F677" s="61" t="s">
        <v>11111</v>
      </c>
      <c r="G677" s="5"/>
      <c r="H677" s="5"/>
      <c r="I677" s="5"/>
      <c r="J677" s="5"/>
    </row>
    <row r="678" spans="1:10" ht="14.1" customHeight="1" thickBot="1" x14ac:dyDescent="0.25">
      <c r="A678" s="5"/>
      <c r="B678" s="5"/>
      <c r="C678" s="5"/>
      <c r="D678" s="5"/>
      <c r="E678" s="5"/>
      <c r="F678" s="5"/>
      <c r="G678" s="5"/>
      <c r="H678" s="5"/>
      <c r="I678" s="5"/>
      <c r="J678" s="5"/>
    </row>
    <row r="679" spans="1:10" ht="14.1" customHeight="1" thickBot="1" x14ac:dyDescent="0.25">
      <c r="A679" s="67" t="s">
        <v>15735</v>
      </c>
      <c r="B679" s="67" t="s">
        <v>16146</v>
      </c>
      <c r="C679" s="67" t="s">
        <v>15641</v>
      </c>
      <c r="D679" s="67" t="s">
        <v>15251</v>
      </c>
      <c r="E679" s="67" t="s">
        <v>6932</v>
      </c>
      <c r="F679" s="67" t="s">
        <v>15280</v>
      </c>
      <c r="G679" s="5"/>
      <c r="H679" s="5"/>
      <c r="I679" s="5"/>
      <c r="J679" s="5"/>
    </row>
    <row r="680" spans="1:10" ht="27" customHeight="1" x14ac:dyDescent="0.2">
      <c r="A680" s="63">
        <v>80121601</v>
      </c>
      <c r="B680" s="64" t="str">
        <f ca="1">IFERROR(INDEX(UNSPSCDes,MATCH(INDIRECT(ADDRESS(ROW(),COLUMN()-1,4)),UNSPSCCode,0)),"")</f>
        <v>Servicios legales sobre competencia o regulaciones gubernamentales</v>
      </c>
      <c r="C680" s="63" t="s">
        <v>1449</v>
      </c>
      <c r="D680" s="63">
        <v>1</v>
      </c>
      <c r="E680" s="66">
        <v>7500</v>
      </c>
      <c r="F680" s="65">
        <f ca="1">INDIRECT(ADDRESS(ROW(),COLUMN()-2,4))*INDIRECT(ADDRESS(ROW(),COLUMN()-1,4))</f>
        <v>7500</v>
      </c>
      <c r="G680" s="5"/>
      <c r="H680" s="5"/>
      <c r="I680" s="5"/>
      <c r="J680" s="5"/>
    </row>
    <row r="681" spans="1:10" ht="14.1" customHeight="1" x14ac:dyDescent="0.2">
      <c r="A681" s="5"/>
      <c r="B681" s="5"/>
      <c r="C681" s="5"/>
      <c r="D681" s="5"/>
      <c r="E681" s="68" t="s">
        <v>12549</v>
      </c>
      <c r="F681" s="69">
        <f ca="1">SUM(Table363[MONTO TOTAL ESTIMADO])</f>
        <v>7500</v>
      </c>
      <c r="G681" s="5"/>
      <c r="H681" s="5" t="str">
        <f>C673</f>
        <v>Servicios</v>
      </c>
      <c r="I681" s="5" t="str">
        <f>E673</f>
        <v>Sí</v>
      </c>
      <c r="J681" s="5" t="str">
        <f>D673</f>
        <v>Compras por debajo del Umbral</v>
      </c>
    </row>
    <row r="682" spans="1:10" ht="14.1" customHeight="1" thickBot="1" x14ac:dyDescent="0.3"/>
    <row r="683" spans="1:10" ht="33.75" customHeight="1" thickBot="1" x14ac:dyDescent="0.25">
      <c r="A683" s="59" t="s">
        <v>16382</v>
      </c>
      <c r="B683" s="59" t="s">
        <v>161</v>
      </c>
      <c r="C683" s="59" t="s">
        <v>11723</v>
      </c>
      <c r="D683" s="59" t="s">
        <v>14377</v>
      </c>
      <c r="E683" s="59" t="s">
        <v>10961</v>
      </c>
      <c r="F683" s="59" t="s">
        <v>11094</v>
      </c>
      <c r="G683" s="5"/>
      <c r="H683" s="5"/>
      <c r="I683" s="5"/>
      <c r="J683" s="5"/>
    </row>
    <row r="684" spans="1:10" ht="14.1" customHeight="1" thickBot="1" x14ac:dyDescent="0.25">
      <c r="A684" s="61" t="s">
        <v>18867</v>
      </c>
      <c r="B684" s="61" t="s">
        <v>18868</v>
      </c>
      <c r="C684" s="61" t="s">
        <v>6798</v>
      </c>
      <c r="D684" s="61" t="s">
        <v>10170</v>
      </c>
      <c r="E684" s="61" t="s">
        <v>8854</v>
      </c>
      <c r="F684" s="61"/>
      <c r="G684" s="5"/>
      <c r="H684" s="5"/>
      <c r="I684" s="5"/>
      <c r="J684" s="5"/>
    </row>
    <row r="685" spans="1:10" ht="14.1" customHeight="1" thickBot="1" x14ac:dyDescent="0.25">
      <c r="A685" s="82" t="s">
        <v>14828</v>
      </c>
      <c r="B685" s="62" t="s">
        <v>8528</v>
      </c>
      <c r="C685" s="71">
        <v>44470</v>
      </c>
      <c r="D685" s="82" t="s">
        <v>9385</v>
      </c>
      <c r="E685" s="62" t="s">
        <v>13092</v>
      </c>
      <c r="F685" s="61" t="s">
        <v>3080</v>
      </c>
      <c r="G685" s="5"/>
      <c r="H685" s="5"/>
      <c r="I685" s="5"/>
      <c r="J685" s="5"/>
    </row>
    <row r="686" spans="1:10" ht="14.1" customHeight="1" thickBot="1" x14ac:dyDescent="0.25">
      <c r="A686" s="83"/>
      <c r="B686" s="62" t="s">
        <v>1786</v>
      </c>
      <c r="C686" s="60">
        <f>IF(C685="","",IF(AND(MONTH(C685)&gt;=1,MONTH(C685)&lt;=3),1,IF(AND(MONTH(C685)&gt;=4,MONTH(C685)&lt;=6),2,IF(AND(MONTH(C685)&gt;=7,MONTH(C685)&lt;=9),3,4))))</f>
        <v>4</v>
      </c>
      <c r="D686" s="83"/>
      <c r="E686" s="62" t="s">
        <v>2417</v>
      </c>
      <c r="F686" s="61" t="s">
        <v>11111</v>
      </c>
      <c r="G686" s="5"/>
      <c r="H686" s="5"/>
      <c r="I686" s="5"/>
      <c r="J686" s="5"/>
    </row>
    <row r="687" spans="1:10" ht="14.1" customHeight="1" thickBot="1" x14ac:dyDescent="0.25">
      <c r="A687" s="83"/>
      <c r="B687" s="62" t="s">
        <v>12941</v>
      </c>
      <c r="C687" s="71">
        <v>44473</v>
      </c>
      <c r="D687" s="83"/>
      <c r="E687" s="62" t="s">
        <v>3073</v>
      </c>
      <c r="F687" s="61" t="s">
        <v>11111</v>
      </c>
      <c r="G687" s="5"/>
      <c r="H687" s="5"/>
      <c r="I687" s="5"/>
      <c r="J687" s="5"/>
    </row>
    <row r="688" spans="1:10" ht="14.1" customHeight="1" thickBot="1" x14ac:dyDescent="0.25">
      <c r="A688" s="83"/>
      <c r="B688" s="62" t="s">
        <v>1786</v>
      </c>
      <c r="C688" s="60">
        <f>IF(C687="","",IF(AND(MONTH(C687)&gt;=1,MONTH(C687)&lt;=3),1,IF(AND(MONTH(C687)&gt;=4,MONTH(C687)&lt;=6),2,IF(AND(MONTH(C687)&gt;=7,MONTH(C687)&lt;=9),3,4))))</f>
        <v>4</v>
      </c>
      <c r="D688" s="83"/>
      <c r="E688" s="62" t="s">
        <v>13191</v>
      </c>
      <c r="F688" s="61" t="s">
        <v>11111</v>
      </c>
      <c r="G688" s="5"/>
      <c r="H688" s="5"/>
      <c r="I688" s="5"/>
      <c r="J688" s="5"/>
    </row>
    <row r="689" spans="1:10" ht="14.1" customHeight="1" thickBot="1" x14ac:dyDescent="0.25">
      <c r="A689" s="5"/>
      <c r="B689" s="5"/>
      <c r="C689" s="5"/>
      <c r="D689" s="5"/>
      <c r="E689" s="5"/>
      <c r="F689" s="5"/>
      <c r="G689" s="5"/>
      <c r="H689" s="5"/>
      <c r="I689" s="5"/>
      <c r="J689" s="5"/>
    </row>
    <row r="690" spans="1:10" ht="14.1" customHeight="1" thickBot="1" x14ac:dyDescent="0.25">
      <c r="A690" s="67" t="s">
        <v>15735</v>
      </c>
      <c r="B690" s="67" t="s">
        <v>16146</v>
      </c>
      <c r="C690" s="67" t="s">
        <v>15641</v>
      </c>
      <c r="D690" s="67" t="s">
        <v>15251</v>
      </c>
      <c r="E690" s="67" t="s">
        <v>6932</v>
      </c>
      <c r="F690" s="67" t="s">
        <v>15280</v>
      </c>
      <c r="G690" s="5"/>
      <c r="H690" s="5"/>
      <c r="I690" s="5"/>
      <c r="J690" s="5"/>
    </row>
    <row r="691" spans="1:10" ht="27" customHeight="1" x14ac:dyDescent="0.2">
      <c r="A691" s="63">
        <v>80121601</v>
      </c>
      <c r="B691" s="64" t="str">
        <f ca="1">IFERROR(INDEX(UNSPSCDes,MATCH(INDIRECT(ADDRESS(ROW(),COLUMN()-1,4)),UNSPSCCode,0)),"")</f>
        <v>Servicios legales sobre competencia o regulaciones gubernamentales</v>
      </c>
      <c r="C691" s="63" t="s">
        <v>1449</v>
      </c>
      <c r="D691" s="63">
        <v>1</v>
      </c>
      <c r="E691" s="66">
        <v>7500</v>
      </c>
      <c r="F691" s="65">
        <f ca="1">INDIRECT(ADDRESS(ROW(),COLUMN()-2,4))*INDIRECT(ADDRESS(ROW(),COLUMN()-1,4))</f>
        <v>7500</v>
      </c>
      <c r="G691" s="5"/>
      <c r="H691" s="5"/>
      <c r="I691" s="5"/>
      <c r="J691" s="5"/>
    </row>
    <row r="692" spans="1:10" ht="14.1" customHeight="1" x14ac:dyDescent="0.2">
      <c r="A692" s="5"/>
      <c r="B692" s="5"/>
      <c r="C692" s="5"/>
      <c r="D692" s="5"/>
      <c r="E692" s="68" t="s">
        <v>12549</v>
      </c>
      <c r="F692" s="69">
        <f ca="1">SUM(Table364[MONTO TOTAL ESTIMADO])</f>
        <v>7500</v>
      </c>
      <c r="G692" s="5"/>
      <c r="H692" s="5" t="str">
        <f>C684</f>
        <v>Servicios</v>
      </c>
      <c r="I692" s="5" t="str">
        <f>E684</f>
        <v>Sí</v>
      </c>
      <c r="J692" s="5" t="str">
        <f>D684</f>
        <v>Compras por debajo del Umbral</v>
      </c>
    </row>
    <row r="693" spans="1:10" ht="14.1" customHeight="1" thickBot="1" x14ac:dyDescent="0.3"/>
    <row r="694" spans="1:10" ht="33.75" customHeight="1" thickBot="1" x14ac:dyDescent="0.25">
      <c r="A694" s="59" t="s">
        <v>16382</v>
      </c>
      <c r="B694" s="59" t="s">
        <v>161</v>
      </c>
      <c r="C694" s="59" t="s">
        <v>11723</v>
      </c>
      <c r="D694" s="59" t="s">
        <v>14377</v>
      </c>
      <c r="E694" s="59" t="s">
        <v>10961</v>
      </c>
      <c r="F694" s="59" t="s">
        <v>11094</v>
      </c>
      <c r="G694" s="5"/>
      <c r="H694" s="5"/>
      <c r="I694" s="5"/>
      <c r="J694" s="5"/>
    </row>
    <row r="695" spans="1:10" ht="14.1" customHeight="1" thickBot="1" x14ac:dyDescent="0.25">
      <c r="A695" s="61" t="s">
        <v>18869</v>
      </c>
      <c r="B695" s="61" t="s">
        <v>18869</v>
      </c>
      <c r="C695" s="61" t="s">
        <v>6798</v>
      </c>
      <c r="D695" s="61" t="s">
        <v>17483</v>
      </c>
      <c r="E695" s="61" t="s">
        <v>17854</v>
      </c>
      <c r="F695" s="61"/>
      <c r="G695" s="5"/>
      <c r="H695" s="5"/>
      <c r="I695" s="5"/>
      <c r="J695" s="5"/>
    </row>
    <row r="696" spans="1:10" ht="14.1" customHeight="1" thickBot="1" x14ac:dyDescent="0.25">
      <c r="A696" s="82" t="s">
        <v>14828</v>
      </c>
      <c r="B696" s="62" t="s">
        <v>8528</v>
      </c>
      <c r="C696" s="71">
        <v>44197</v>
      </c>
      <c r="D696" s="82" t="s">
        <v>9385</v>
      </c>
      <c r="E696" s="62" t="s">
        <v>13092</v>
      </c>
      <c r="F696" s="61" t="s">
        <v>3080</v>
      </c>
      <c r="G696" s="5"/>
      <c r="H696" s="5"/>
      <c r="I696" s="5"/>
      <c r="J696" s="5"/>
    </row>
    <row r="697" spans="1:10" ht="14.1" customHeight="1" thickBot="1" x14ac:dyDescent="0.25">
      <c r="A697" s="83"/>
      <c r="B697" s="62" t="s">
        <v>1786</v>
      </c>
      <c r="C697" s="60">
        <f>IF(C696="","",IF(AND(MONTH(C696)&gt;=1,MONTH(C696)&lt;=3),1,IF(AND(MONTH(C696)&gt;=4,MONTH(C696)&lt;=6),2,IF(AND(MONTH(C696)&gt;=7,MONTH(C696)&lt;=9),3,4))))</f>
        <v>1</v>
      </c>
      <c r="D697" s="83"/>
      <c r="E697" s="62" t="s">
        <v>2417</v>
      </c>
      <c r="F697" s="61" t="s">
        <v>11111</v>
      </c>
      <c r="G697" s="5"/>
      <c r="H697" s="5"/>
      <c r="I697" s="5"/>
      <c r="J697" s="5"/>
    </row>
    <row r="698" spans="1:10" ht="14.1" customHeight="1" thickBot="1" x14ac:dyDescent="0.25">
      <c r="A698" s="83"/>
      <c r="B698" s="62" t="s">
        <v>12941</v>
      </c>
      <c r="C698" s="71">
        <v>44211</v>
      </c>
      <c r="D698" s="83"/>
      <c r="E698" s="62" t="s">
        <v>3073</v>
      </c>
      <c r="F698" s="61" t="s">
        <v>11111</v>
      </c>
      <c r="G698" s="5"/>
      <c r="H698" s="5"/>
      <c r="I698" s="5"/>
      <c r="J698" s="5"/>
    </row>
    <row r="699" spans="1:10" ht="14.1" customHeight="1" thickBot="1" x14ac:dyDescent="0.25">
      <c r="A699" s="83"/>
      <c r="B699" s="62" t="s">
        <v>1786</v>
      </c>
      <c r="C699" s="60">
        <f>IF(C698="","",IF(AND(MONTH(C698)&gt;=1,MONTH(C698)&lt;=3),1,IF(AND(MONTH(C698)&gt;=4,MONTH(C698)&lt;=6),2,IF(AND(MONTH(C698)&gt;=7,MONTH(C698)&lt;=9),3,4))))</f>
        <v>1</v>
      </c>
      <c r="D699" s="83"/>
      <c r="E699" s="62" t="s">
        <v>13191</v>
      </c>
      <c r="F699" s="61" t="s">
        <v>11111</v>
      </c>
      <c r="G699" s="5"/>
      <c r="H699" s="5"/>
      <c r="I699" s="5"/>
      <c r="J699" s="5"/>
    </row>
    <row r="700" spans="1:10" ht="14.1" customHeight="1" thickBot="1" x14ac:dyDescent="0.25">
      <c r="A700" s="5"/>
      <c r="B700" s="5"/>
      <c r="C700" s="5"/>
      <c r="D700" s="5"/>
      <c r="E700" s="5"/>
      <c r="F700" s="5"/>
      <c r="G700" s="5"/>
      <c r="H700" s="5"/>
      <c r="I700" s="5"/>
      <c r="J700" s="5"/>
    </row>
    <row r="701" spans="1:10" ht="14.1" customHeight="1" thickBot="1" x14ac:dyDescent="0.25">
      <c r="A701" s="67" t="s">
        <v>15735</v>
      </c>
      <c r="B701" s="67" t="s">
        <v>16146</v>
      </c>
      <c r="C701" s="67" t="s">
        <v>15641</v>
      </c>
      <c r="D701" s="67" t="s">
        <v>15251</v>
      </c>
      <c r="E701" s="67" t="s">
        <v>6932</v>
      </c>
      <c r="F701" s="67" t="s">
        <v>15280</v>
      </c>
      <c r="G701" s="5"/>
      <c r="H701" s="5"/>
      <c r="I701" s="5"/>
      <c r="J701" s="5"/>
    </row>
    <row r="702" spans="1:10" ht="13.5" customHeight="1" x14ac:dyDescent="0.2">
      <c r="A702" s="63">
        <v>86101710</v>
      </c>
      <c r="B702" s="64" t="str">
        <f ca="1">IFERROR(INDEX(UNSPSCDes,MATCH(INDIRECT(ADDRESS(ROW(),COLUMN()-1,4)),UNSPSCCode,0)),"")</f>
        <v>Servicios de formación pedagógica</v>
      </c>
      <c r="C702" s="63" t="s">
        <v>1449</v>
      </c>
      <c r="D702" s="63">
        <v>1</v>
      </c>
      <c r="E702" s="66">
        <v>275000</v>
      </c>
      <c r="F702" s="65">
        <f ca="1">INDIRECT(ADDRESS(ROW(),COLUMN()-2,4))*INDIRECT(ADDRESS(ROW(),COLUMN()-1,4))</f>
        <v>275000</v>
      </c>
      <c r="G702" s="5"/>
      <c r="H702" s="5"/>
      <c r="I702" s="5"/>
      <c r="J702" s="5"/>
    </row>
    <row r="703" spans="1:10" ht="14.1" customHeight="1" x14ac:dyDescent="0.2">
      <c r="A703" s="5"/>
      <c r="B703" s="5"/>
      <c r="C703" s="5"/>
      <c r="D703" s="5"/>
      <c r="E703" s="68" t="s">
        <v>12549</v>
      </c>
      <c r="F703" s="69">
        <f ca="1">SUM(Table365[MONTO TOTAL ESTIMADO])</f>
        <v>275000</v>
      </c>
      <c r="G703" s="5"/>
      <c r="H703" s="5" t="str">
        <f>C695</f>
        <v>Servicios</v>
      </c>
      <c r="I703" s="5" t="str">
        <f>E695</f>
        <v>No</v>
      </c>
      <c r="J703" s="5" t="str">
        <f>D695</f>
        <v>Compras Menores</v>
      </c>
    </row>
    <row r="704" spans="1:10" ht="14.1" customHeight="1" thickBot="1" x14ac:dyDescent="0.3"/>
    <row r="705" spans="1:10" ht="33.75" customHeight="1" thickBot="1" x14ac:dyDescent="0.25">
      <c r="A705" s="59" t="s">
        <v>16382</v>
      </c>
      <c r="B705" s="59" t="s">
        <v>161</v>
      </c>
      <c r="C705" s="59" t="s">
        <v>11723</v>
      </c>
      <c r="D705" s="59" t="s">
        <v>14377</v>
      </c>
      <c r="E705" s="59" t="s">
        <v>10961</v>
      </c>
      <c r="F705" s="59" t="s">
        <v>11094</v>
      </c>
      <c r="G705" s="5"/>
      <c r="H705" s="5"/>
      <c r="I705" s="5"/>
      <c r="J705" s="5"/>
    </row>
    <row r="706" spans="1:10" ht="14.1" customHeight="1" thickBot="1" x14ac:dyDescent="0.25">
      <c r="A706" s="61" t="s">
        <v>18869</v>
      </c>
      <c r="B706" s="61" t="s">
        <v>18869</v>
      </c>
      <c r="C706" s="61" t="s">
        <v>6798</v>
      </c>
      <c r="D706" s="61" t="s">
        <v>17483</v>
      </c>
      <c r="E706" s="61" t="s">
        <v>17854</v>
      </c>
      <c r="F706" s="61"/>
      <c r="G706" s="5"/>
      <c r="H706" s="5"/>
      <c r="I706" s="5"/>
      <c r="J706" s="5"/>
    </row>
    <row r="707" spans="1:10" ht="14.1" customHeight="1" thickBot="1" x14ac:dyDescent="0.25">
      <c r="A707" s="82" t="s">
        <v>14828</v>
      </c>
      <c r="B707" s="62" t="s">
        <v>8528</v>
      </c>
      <c r="C707" s="71">
        <v>44287</v>
      </c>
      <c r="D707" s="82" t="s">
        <v>9385</v>
      </c>
      <c r="E707" s="62" t="s">
        <v>13092</v>
      </c>
      <c r="F707" s="61" t="s">
        <v>3080</v>
      </c>
      <c r="G707" s="5"/>
      <c r="H707" s="5"/>
      <c r="I707" s="5"/>
      <c r="J707" s="5"/>
    </row>
    <row r="708" spans="1:10" ht="14.1" customHeight="1" thickBot="1" x14ac:dyDescent="0.25">
      <c r="A708" s="83"/>
      <c r="B708" s="62" t="s">
        <v>1786</v>
      </c>
      <c r="C708" s="60">
        <f>IF(C707="","",IF(AND(MONTH(C707)&gt;=1,MONTH(C707)&lt;=3),1,IF(AND(MONTH(C707)&gt;=4,MONTH(C707)&lt;=6),2,IF(AND(MONTH(C707)&gt;=7,MONTH(C707)&lt;=9),3,4))))</f>
        <v>2</v>
      </c>
      <c r="D708" s="83"/>
      <c r="E708" s="62" t="s">
        <v>2417</v>
      </c>
      <c r="F708" s="61" t="s">
        <v>11111</v>
      </c>
      <c r="G708" s="5"/>
      <c r="H708" s="5"/>
      <c r="I708" s="5"/>
      <c r="J708" s="5"/>
    </row>
    <row r="709" spans="1:10" ht="14.1" customHeight="1" thickBot="1" x14ac:dyDescent="0.25">
      <c r="A709" s="83"/>
      <c r="B709" s="62" t="s">
        <v>12941</v>
      </c>
      <c r="C709" s="71">
        <v>44301</v>
      </c>
      <c r="D709" s="83"/>
      <c r="E709" s="62" t="s">
        <v>3073</v>
      </c>
      <c r="F709" s="61" t="s">
        <v>11111</v>
      </c>
      <c r="G709" s="5"/>
      <c r="H709" s="5"/>
      <c r="I709" s="5"/>
      <c r="J709" s="5"/>
    </row>
    <row r="710" spans="1:10" ht="14.1" customHeight="1" thickBot="1" x14ac:dyDescent="0.25">
      <c r="A710" s="83"/>
      <c r="B710" s="62" t="s">
        <v>1786</v>
      </c>
      <c r="C710" s="60">
        <f>IF(C709="","",IF(AND(MONTH(C709)&gt;=1,MONTH(C709)&lt;=3),1,IF(AND(MONTH(C709)&gt;=4,MONTH(C709)&lt;=6),2,IF(AND(MONTH(C709)&gt;=7,MONTH(C709)&lt;=9),3,4))))</f>
        <v>2</v>
      </c>
      <c r="D710" s="83"/>
      <c r="E710" s="62" t="s">
        <v>13191</v>
      </c>
      <c r="F710" s="61" t="s">
        <v>11111</v>
      </c>
      <c r="G710" s="5"/>
      <c r="H710" s="5"/>
      <c r="I710" s="5"/>
      <c r="J710" s="5"/>
    </row>
    <row r="711" spans="1:10" ht="14.1" customHeight="1" thickBot="1" x14ac:dyDescent="0.25">
      <c r="A711" s="5"/>
      <c r="B711" s="5"/>
      <c r="C711" s="5"/>
      <c r="D711" s="5"/>
      <c r="E711" s="5"/>
      <c r="F711" s="5"/>
      <c r="G711" s="5"/>
      <c r="H711" s="5"/>
      <c r="I711" s="5"/>
      <c r="J711" s="5"/>
    </row>
    <row r="712" spans="1:10" ht="14.1" customHeight="1" thickBot="1" x14ac:dyDescent="0.25">
      <c r="A712" s="67" t="s">
        <v>15735</v>
      </c>
      <c r="B712" s="67" t="s">
        <v>16146</v>
      </c>
      <c r="C712" s="67" t="s">
        <v>15641</v>
      </c>
      <c r="D712" s="67" t="s">
        <v>15251</v>
      </c>
      <c r="E712" s="67" t="s">
        <v>6932</v>
      </c>
      <c r="F712" s="67" t="s">
        <v>15280</v>
      </c>
      <c r="G712" s="5"/>
      <c r="H712" s="5"/>
      <c r="I712" s="5"/>
      <c r="J712" s="5"/>
    </row>
    <row r="713" spans="1:10" ht="13.5" customHeight="1" x14ac:dyDescent="0.2">
      <c r="A713" s="63">
        <v>86101710</v>
      </c>
      <c r="B713" s="64" t="str">
        <f ca="1">IFERROR(INDEX(UNSPSCDes,MATCH(INDIRECT(ADDRESS(ROW(),COLUMN()-1,4)),UNSPSCCode,0)),"")</f>
        <v>Servicios de formación pedagógica</v>
      </c>
      <c r="C713" s="63" t="s">
        <v>1449</v>
      </c>
      <c r="D713" s="63">
        <v>1</v>
      </c>
      <c r="E713" s="66">
        <v>275000</v>
      </c>
      <c r="F713" s="65">
        <f ca="1">INDIRECT(ADDRESS(ROW(),COLUMN()-2,4))*INDIRECT(ADDRESS(ROW(),COLUMN()-1,4))</f>
        <v>275000</v>
      </c>
      <c r="G713" s="5"/>
      <c r="H713" s="5"/>
      <c r="I713" s="5"/>
      <c r="J713" s="5"/>
    </row>
    <row r="714" spans="1:10" ht="14.1" customHeight="1" x14ac:dyDescent="0.2">
      <c r="A714" s="5"/>
      <c r="B714" s="5"/>
      <c r="C714" s="5"/>
      <c r="D714" s="5"/>
      <c r="E714" s="68" t="s">
        <v>12549</v>
      </c>
      <c r="F714" s="69">
        <f ca="1">SUM(Table366[MONTO TOTAL ESTIMADO])</f>
        <v>275000</v>
      </c>
      <c r="G714" s="5"/>
      <c r="H714" s="5" t="str">
        <f>C706</f>
        <v>Servicios</v>
      </c>
      <c r="I714" s="5" t="str">
        <f>E706</f>
        <v>No</v>
      </c>
      <c r="J714" s="5" t="str">
        <f>D706</f>
        <v>Compras Menores</v>
      </c>
    </row>
    <row r="715" spans="1:10" ht="14.1" customHeight="1" thickBot="1" x14ac:dyDescent="0.3"/>
    <row r="716" spans="1:10" ht="33.75" customHeight="1" thickBot="1" x14ac:dyDescent="0.25">
      <c r="A716" s="59" t="s">
        <v>16382</v>
      </c>
      <c r="B716" s="59" t="s">
        <v>161</v>
      </c>
      <c r="C716" s="59" t="s">
        <v>11723</v>
      </c>
      <c r="D716" s="59" t="s">
        <v>14377</v>
      </c>
      <c r="E716" s="59" t="s">
        <v>10961</v>
      </c>
      <c r="F716" s="59" t="s">
        <v>11094</v>
      </c>
      <c r="G716" s="5"/>
      <c r="H716" s="5"/>
      <c r="I716" s="5"/>
      <c r="J716" s="5"/>
    </row>
    <row r="717" spans="1:10" ht="14.1" customHeight="1" thickBot="1" x14ac:dyDescent="0.25">
      <c r="A717" s="61" t="s">
        <v>18869</v>
      </c>
      <c r="B717" s="61" t="s">
        <v>18869</v>
      </c>
      <c r="C717" s="61" t="s">
        <v>6798</v>
      </c>
      <c r="D717" s="61" t="s">
        <v>17483</v>
      </c>
      <c r="E717" s="61" t="s">
        <v>17854</v>
      </c>
      <c r="F717" s="61"/>
      <c r="G717" s="5"/>
      <c r="H717" s="5"/>
      <c r="I717" s="5"/>
      <c r="J717" s="5"/>
    </row>
    <row r="718" spans="1:10" ht="14.1" customHeight="1" thickBot="1" x14ac:dyDescent="0.25">
      <c r="A718" s="82" t="s">
        <v>14828</v>
      </c>
      <c r="B718" s="62" t="s">
        <v>8528</v>
      </c>
      <c r="C718" s="71">
        <v>44378</v>
      </c>
      <c r="D718" s="82" t="s">
        <v>9385</v>
      </c>
      <c r="E718" s="62" t="s">
        <v>13092</v>
      </c>
      <c r="F718" s="61" t="s">
        <v>3080</v>
      </c>
      <c r="G718" s="5"/>
      <c r="H718" s="5"/>
      <c r="I718" s="5"/>
      <c r="J718" s="5"/>
    </row>
    <row r="719" spans="1:10" ht="14.1" customHeight="1" thickBot="1" x14ac:dyDescent="0.25">
      <c r="A719" s="83"/>
      <c r="B719" s="62" t="s">
        <v>1786</v>
      </c>
      <c r="C719" s="60">
        <f>IF(C718="","",IF(AND(MONTH(C718)&gt;=1,MONTH(C718)&lt;=3),1,IF(AND(MONTH(C718)&gt;=4,MONTH(C718)&lt;=6),2,IF(AND(MONTH(C718)&gt;=7,MONTH(C718)&lt;=9),3,4))))</f>
        <v>3</v>
      </c>
      <c r="D719" s="83"/>
      <c r="E719" s="62" t="s">
        <v>2417</v>
      </c>
      <c r="F719" s="61" t="s">
        <v>11111</v>
      </c>
      <c r="G719" s="5"/>
      <c r="H719" s="5"/>
      <c r="I719" s="5"/>
      <c r="J719" s="5"/>
    </row>
    <row r="720" spans="1:10" ht="14.1" customHeight="1" thickBot="1" x14ac:dyDescent="0.25">
      <c r="A720" s="83"/>
      <c r="B720" s="62" t="s">
        <v>12941</v>
      </c>
      <c r="C720" s="71">
        <v>44392</v>
      </c>
      <c r="D720" s="83"/>
      <c r="E720" s="62" t="s">
        <v>3073</v>
      </c>
      <c r="F720" s="61" t="s">
        <v>11111</v>
      </c>
      <c r="G720" s="5"/>
      <c r="H720" s="5"/>
      <c r="I720" s="5"/>
      <c r="J720" s="5"/>
    </row>
    <row r="721" spans="1:10" ht="14.1" customHeight="1" thickBot="1" x14ac:dyDescent="0.25">
      <c r="A721" s="83"/>
      <c r="B721" s="62" t="s">
        <v>1786</v>
      </c>
      <c r="C721" s="60">
        <f>IF(C720="","",IF(AND(MONTH(C720)&gt;=1,MONTH(C720)&lt;=3),1,IF(AND(MONTH(C720)&gt;=4,MONTH(C720)&lt;=6),2,IF(AND(MONTH(C720)&gt;=7,MONTH(C720)&lt;=9),3,4))))</f>
        <v>3</v>
      </c>
      <c r="D721" s="83"/>
      <c r="E721" s="62" t="s">
        <v>13191</v>
      </c>
      <c r="F721" s="61" t="s">
        <v>11111</v>
      </c>
      <c r="G721" s="5"/>
      <c r="H721" s="5"/>
      <c r="I721" s="5"/>
      <c r="J721" s="5"/>
    </row>
    <row r="722" spans="1:10" ht="14.1" customHeight="1" thickBot="1" x14ac:dyDescent="0.25">
      <c r="A722" s="5"/>
      <c r="B722" s="5"/>
      <c r="C722" s="5"/>
      <c r="D722" s="5"/>
      <c r="E722" s="5"/>
      <c r="F722" s="5"/>
      <c r="G722" s="5"/>
      <c r="H722" s="5"/>
      <c r="I722" s="5"/>
      <c r="J722" s="5"/>
    </row>
    <row r="723" spans="1:10" ht="14.1" customHeight="1" thickBot="1" x14ac:dyDescent="0.25">
      <c r="A723" s="67" t="s">
        <v>15735</v>
      </c>
      <c r="B723" s="67" t="s">
        <v>16146</v>
      </c>
      <c r="C723" s="67" t="s">
        <v>15641</v>
      </c>
      <c r="D723" s="67" t="s">
        <v>15251</v>
      </c>
      <c r="E723" s="67" t="s">
        <v>6932</v>
      </c>
      <c r="F723" s="67" t="s">
        <v>15280</v>
      </c>
      <c r="G723" s="5"/>
      <c r="H723" s="5"/>
      <c r="I723" s="5"/>
      <c r="J723" s="5"/>
    </row>
    <row r="724" spans="1:10" ht="13.5" customHeight="1" x14ac:dyDescent="0.2">
      <c r="A724" s="63">
        <v>86101710</v>
      </c>
      <c r="B724" s="64" t="str">
        <f ca="1">IFERROR(INDEX(UNSPSCDes,MATCH(INDIRECT(ADDRESS(ROW(),COLUMN()-1,4)),UNSPSCCode,0)),"")</f>
        <v>Servicios de formación pedagógica</v>
      </c>
      <c r="C724" s="63" t="s">
        <v>1449</v>
      </c>
      <c r="D724" s="63">
        <v>1</v>
      </c>
      <c r="E724" s="66">
        <v>275000</v>
      </c>
      <c r="F724" s="65">
        <f ca="1">INDIRECT(ADDRESS(ROW(),COLUMN()-2,4))*INDIRECT(ADDRESS(ROW(),COLUMN()-1,4))</f>
        <v>275000</v>
      </c>
      <c r="G724" s="5"/>
      <c r="H724" s="5"/>
      <c r="I724" s="5"/>
      <c r="J724" s="5"/>
    </row>
    <row r="725" spans="1:10" ht="14.1" customHeight="1" x14ac:dyDescent="0.2">
      <c r="A725" s="5"/>
      <c r="B725" s="5"/>
      <c r="C725" s="5"/>
      <c r="D725" s="5"/>
      <c r="E725" s="68" t="s">
        <v>12549</v>
      </c>
      <c r="F725" s="69">
        <f ca="1">SUM(Table367[MONTO TOTAL ESTIMADO])</f>
        <v>275000</v>
      </c>
      <c r="G725" s="5"/>
      <c r="H725" s="5" t="str">
        <f>C717</f>
        <v>Servicios</v>
      </c>
      <c r="I725" s="5" t="str">
        <f>E717</f>
        <v>No</v>
      </c>
      <c r="J725" s="5" t="str">
        <f>D717</f>
        <v>Compras Menores</v>
      </c>
    </row>
    <row r="726" spans="1:10" ht="14.1" customHeight="1" thickBot="1" x14ac:dyDescent="0.3"/>
    <row r="727" spans="1:10" ht="33.75" customHeight="1" thickBot="1" x14ac:dyDescent="0.25">
      <c r="A727" s="59" t="s">
        <v>16382</v>
      </c>
      <c r="B727" s="59" t="s">
        <v>161</v>
      </c>
      <c r="C727" s="59" t="s">
        <v>11723</v>
      </c>
      <c r="D727" s="59" t="s">
        <v>14377</v>
      </c>
      <c r="E727" s="59" t="s">
        <v>10961</v>
      </c>
      <c r="F727" s="59" t="s">
        <v>11094</v>
      </c>
      <c r="G727" s="5"/>
      <c r="H727" s="5"/>
      <c r="I727" s="5"/>
      <c r="J727" s="5"/>
    </row>
    <row r="728" spans="1:10" ht="14.1" customHeight="1" thickBot="1" x14ac:dyDescent="0.25">
      <c r="A728" s="61" t="s">
        <v>18869</v>
      </c>
      <c r="B728" s="61" t="s">
        <v>18869</v>
      </c>
      <c r="C728" s="61" t="s">
        <v>6798</v>
      </c>
      <c r="D728" s="61" t="s">
        <v>17483</v>
      </c>
      <c r="E728" s="61" t="s">
        <v>8854</v>
      </c>
      <c r="F728" s="61"/>
      <c r="G728" s="5"/>
      <c r="H728" s="5"/>
      <c r="I728" s="5"/>
      <c r="J728" s="5"/>
    </row>
    <row r="729" spans="1:10" ht="14.1" customHeight="1" thickBot="1" x14ac:dyDescent="0.25">
      <c r="A729" s="82" t="s">
        <v>14828</v>
      </c>
      <c r="B729" s="62" t="s">
        <v>8528</v>
      </c>
      <c r="C729" s="71">
        <v>44470</v>
      </c>
      <c r="D729" s="82" t="s">
        <v>9385</v>
      </c>
      <c r="E729" s="62" t="s">
        <v>13092</v>
      </c>
      <c r="F729" s="61" t="s">
        <v>3080</v>
      </c>
      <c r="G729" s="5"/>
      <c r="H729" s="5"/>
      <c r="I729" s="5"/>
      <c r="J729" s="5"/>
    </row>
    <row r="730" spans="1:10" ht="14.1" customHeight="1" thickBot="1" x14ac:dyDescent="0.25">
      <c r="A730" s="83"/>
      <c r="B730" s="62" t="s">
        <v>1786</v>
      </c>
      <c r="C730" s="60">
        <f>IF(C729="","",IF(AND(MONTH(C729)&gt;=1,MONTH(C729)&lt;=3),1,IF(AND(MONTH(C729)&gt;=4,MONTH(C729)&lt;=6),2,IF(AND(MONTH(C729)&gt;=7,MONTH(C729)&lt;=9),3,4))))</f>
        <v>4</v>
      </c>
      <c r="D730" s="83"/>
      <c r="E730" s="62" t="s">
        <v>2417</v>
      </c>
      <c r="F730" s="61" t="s">
        <v>11111</v>
      </c>
      <c r="G730" s="5"/>
      <c r="H730" s="5"/>
      <c r="I730" s="5"/>
      <c r="J730" s="5"/>
    </row>
    <row r="731" spans="1:10" ht="14.1" customHeight="1" thickBot="1" x14ac:dyDescent="0.25">
      <c r="A731" s="83"/>
      <c r="B731" s="62" t="s">
        <v>12941</v>
      </c>
      <c r="C731" s="71">
        <v>44484</v>
      </c>
      <c r="D731" s="83"/>
      <c r="E731" s="62" t="s">
        <v>3073</v>
      </c>
      <c r="F731" s="61" t="s">
        <v>11111</v>
      </c>
      <c r="G731" s="5"/>
      <c r="H731" s="5"/>
      <c r="I731" s="5"/>
      <c r="J731" s="5"/>
    </row>
    <row r="732" spans="1:10" ht="14.1" customHeight="1" thickBot="1" x14ac:dyDescent="0.25">
      <c r="A732" s="83"/>
      <c r="B732" s="62" t="s">
        <v>1786</v>
      </c>
      <c r="C732" s="60">
        <f>IF(C731="","",IF(AND(MONTH(C731)&gt;=1,MONTH(C731)&lt;=3),1,IF(AND(MONTH(C731)&gt;=4,MONTH(C731)&lt;=6),2,IF(AND(MONTH(C731)&gt;=7,MONTH(C731)&lt;=9),3,4))))</f>
        <v>4</v>
      </c>
      <c r="D732" s="83"/>
      <c r="E732" s="62" t="s">
        <v>13191</v>
      </c>
      <c r="F732" s="61" t="s">
        <v>11111</v>
      </c>
      <c r="G732" s="5"/>
      <c r="H732" s="5"/>
      <c r="I732" s="5"/>
      <c r="J732" s="5"/>
    </row>
    <row r="733" spans="1:10" ht="14.1" customHeight="1" thickBot="1" x14ac:dyDescent="0.25">
      <c r="A733" s="5"/>
      <c r="B733" s="5"/>
      <c r="C733" s="5"/>
      <c r="D733" s="5"/>
      <c r="E733" s="5"/>
      <c r="F733" s="5"/>
      <c r="G733" s="5"/>
      <c r="H733" s="5"/>
      <c r="I733" s="5"/>
      <c r="J733" s="5"/>
    </row>
    <row r="734" spans="1:10" ht="14.1" customHeight="1" thickBot="1" x14ac:dyDescent="0.25">
      <c r="A734" s="67" t="s">
        <v>15735</v>
      </c>
      <c r="B734" s="67" t="s">
        <v>16146</v>
      </c>
      <c r="C734" s="67" t="s">
        <v>15641</v>
      </c>
      <c r="D734" s="67" t="s">
        <v>15251</v>
      </c>
      <c r="E734" s="67" t="s">
        <v>6932</v>
      </c>
      <c r="F734" s="67" t="s">
        <v>15280</v>
      </c>
      <c r="G734" s="5"/>
      <c r="H734" s="5"/>
      <c r="I734" s="5"/>
      <c r="J734" s="5"/>
    </row>
    <row r="735" spans="1:10" ht="13.5" customHeight="1" x14ac:dyDescent="0.2">
      <c r="A735" s="63">
        <v>86101710</v>
      </c>
      <c r="B735" s="64" t="str">
        <f ca="1">IFERROR(INDEX(UNSPSCDes,MATCH(INDIRECT(ADDRESS(ROW(),COLUMN()-1,4)),UNSPSCCode,0)),"")</f>
        <v>Servicios de formación pedagógica</v>
      </c>
      <c r="C735" s="63" t="s">
        <v>1449</v>
      </c>
      <c r="D735" s="63">
        <v>1</v>
      </c>
      <c r="E735" s="66">
        <v>275000</v>
      </c>
      <c r="F735" s="65">
        <f ca="1">INDIRECT(ADDRESS(ROW(),COLUMN()-2,4))*INDIRECT(ADDRESS(ROW(),COLUMN()-1,4))</f>
        <v>275000</v>
      </c>
      <c r="G735" s="5"/>
      <c r="H735" s="5"/>
      <c r="I735" s="5"/>
      <c r="J735" s="5"/>
    </row>
    <row r="736" spans="1:10" ht="14.1" customHeight="1" x14ac:dyDescent="0.2">
      <c r="A736" s="5"/>
      <c r="B736" s="5"/>
      <c r="C736" s="5"/>
      <c r="D736" s="5"/>
      <c r="E736" s="68" t="s">
        <v>12549</v>
      </c>
      <c r="F736" s="69">
        <f ca="1">SUM(Table368[MONTO TOTAL ESTIMADO])</f>
        <v>275000</v>
      </c>
      <c r="G736" s="5"/>
      <c r="H736" s="5" t="str">
        <f>C728</f>
        <v>Servicios</v>
      </c>
      <c r="I736" s="5" t="str">
        <f>E728</f>
        <v>Sí</v>
      </c>
      <c r="J736" s="5" t="str">
        <f>D728</f>
        <v>Compras Menores</v>
      </c>
    </row>
    <row r="737" spans="1:10" ht="14.1" customHeight="1" thickBot="1" x14ac:dyDescent="0.3"/>
    <row r="738" spans="1:10" ht="33.75" customHeight="1" thickBot="1" x14ac:dyDescent="0.25">
      <c r="A738" s="59" t="s">
        <v>16382</v>
      </c>
      <c r="B738" s="59" t="s">
        <v>161</v>
      </c>
      <c r="C738" s="59" t="s">
        <v>11723</v>
      </c>
      <c r="D738" s="59" t="s">
        <v>14377</v>
      </c>
      <c r="E738" s="59" t="s">
        <v>10961</v>
      </c>
      <c r="F738" s="59" t="s">
        <v>11094</v>
      </c>
      <c r="G738" s="5"/>
      <c r="H738" s="5"/>
      <c r="I738" s="5"/>
      <c r="J738" s="5"/>
    </row>
    <row r="739" spans="1:10" ht="13.5" customHeight="1" thickBot="1" x14ac:dyDescent="0.25">
      <c r="A739" s="61" t="s">
        <v>18870</v>
      </c>
      <c r="B739" s="61" t="s">
        <v>18871</v>
      </c>
      <c r="C739" s="61" t="s">
        <v>6798</v>
      </c>
      <c r="D739" s="61" t="s">
        <v>17483</v>
      </c>
      <c r="E739" s="61" t="s">
        <v>17854</v>
      </c>
      <c r="F739" s="61"/>
      <c r="G739" s="5"/>
      <c r="H739" s="5"/>
      <c r="I739" s="5"/>
      <c r="J739" s="5"/>
    </row>
    <row r="740" spans="1:10" ht="14.1" customHeight="1" thickBot="1" x14ac:dyDescent="0.25">
      <c r="A740" s="82" t="s">
        <v>14828</v>
      </c>
      <c r="B740" s="62" t="s">
        <v>8528</v>
      </c>
      <c r="C740" s="71">
        <v>44197</v>
      </c>
      <c r="D740" s="82" t="s">
        <v>9385</v>
      </c>
      <c r="E740" s="62" t="s">
        <v>13092</v>
      </c>
      <c r="F740" s="61" t="s">
        <v>3080</v>
      </c>
      <c r="G740" s="5"/>
      <c r="H740" s="5"/>
      <c r="I740" s="5"/>
      <c r="J740" s="5"/>
    </row>
    <row r="741" spans="1:10" ht="14.1" customHeight="1" thickBot="1" x14ac:dyDescent="0.25">
      <c r="A741" s="83"/>
      <c r="B741" s="62" t="s">
        <v>1786</v>
      </c>
      <c r="C741" s="60">
        <f>IF(C740="","",IF(AND(MONTH(C740)&gt;=1,MONTH(C740)&lt;=3),1,IF(AND(MONTH(C740)&gt;=4,MONTH(C740)&lt;=6),2,IF(AND(MONTH(C740)&gt;=7,MONTH(C740)&lt;=9),3,4))))</f>
        <v>1</v>
      </c>
      <c r="D741" s="83"/>
      <c r="E741" s="62" t="s">
        <v>2417</v>
      </c>
      <c r="F741" s="61" t="s">
        <v>11111</v>
      </c>
      <c r="G741" s="5"/>
      <c r="H741" s="5"/>
      <c r="I741" s="5"/>
      <c r="J741" s="5"/>
    </row>
    <row r="742" spans="1:10" ht="14.1" customHeight="1" thickBot="1" x14ac:dyDescent="0.25">
      <c r="A742" s="83"/>
      <c r="B742" s="62" t="s">
        <v>12941</v>
      </c>
      <c r="C742" s="71">
        <v>44211</v>
      </c>
      <c r="D742" s="83"/>
      <c r="E742" s="62" t="s">
        <v>3073</v>
      </c>
      <c r="F742" s="61" t="s">
        <v>11111</v>
      </c>
      <c r="G742" s="5"/>
      <c r="H742" s="5"/>
      <c r="I742" s="5"/>
      <c r="J742" s="5"/>
    </row>
    <row r="743" spans="1:10" ht="14.1" customHeight="1" thickBot="1" x14ac:dyDescent="0.25">
      <c r="A743" s="83"/>
      <c r="B743" s="62" t="s">
        <v>1786</v>
      </c>
      <c r="C743" s="60">
        <f>IF(C742="","",IF(AND(MONTH(C742)&gt;=1,MONTH(C742)&lt;=3),1,IF(AND(MONTH(C742)&gt;=4,MONTH(C742)&lt;=6),2,IF(AND(MONTH(C742)&gt;=7,MONTH(C742)&lt;=9),3,4))))</f>
        <v>1</v>
      </c>
      <c r="D743" s="83"/>
      <c r="E743" s="62" t="s">
        <v>13191</v>
      </c>
      <c r="F743" s="61" t="s">
        <v>11111</v>
      </c>
      <c r="G743" s="5"/>
      <c r="H743" s="5"/>
      <c r="I743" s="5"/>
      <c r="J743" s="5"/>
    </row>
    <row r="744" spans="1:10" ht="14.1" customHeight="1" thickBot="1" x14ac:dyDescent="0.25">
      <c r="A744" s="5"/>
      <c r="B744" s="5"/>
      <c r="C744" s="5"/>
      <c r="D744" s="5"/>
      <c r="E744" s="5"/>
      <c r="F744" s="5"/>
      <c r="G744" s="5"/>
      <c r="H744" s="5"/>
      <c r="I744" s="5"/>
      <c r="J744" s="5"/>
    </row>
    <row r="745" spans="1:10" ht="14.1" customHeight="1" thickBot="1" x14ac:dyDescent="0.25">
      <c r="A745" s="67" t="s">
        <v>15735</v>
      </c>
      <c r="B745" s="67" t="s">
        <v>16146</v>
      </c>
      <c r="C745" s="67" t="s">
        <v>15641</v>
      </c>
      <c r="D745" s="67" t="s">
        <v>15251</v>
      </c>
      <c r="E745" s="67" t="s">
        <v>6932</v>
      </c>
      <c r="F745" s="67" t="s">
        <v>15280</v>
      </c>
      <c r="G745" s="5"/>
      <c r="H745" s="5"/>
      <c r="I745" s="5"/>
      <c r="J745" s="5"/>
    </row>
    <row r="746" spans="1:10" ht="13.5" customHeight="1" x14ac:dyDescent="0.2">
      <c r="A746" s="63">
        <v>90152101</v>
      </c>
      <c r="B746" s="64" t="str">
        <f ca="1">IFERROR(INDEX(UNSPSCDes,MATCH(INDIRECT(ADDRESS(ROW(),COLUMN()-1,4)),UNSPSCCode,0)),"")</f>
        <v>Servicios de asistencia personal</v>
      </c>
      <c r="C746" s="63" t="s">
        <v>1449</v>
      </c>
      <c r="D746" s="63">
        <v>1</v>
      </c>
      <c r="E746" s="66">
        <v>150000</v>
      </c>
      <c r="F746" s="65">
        <f ca="1">INDIRECT(ADDRESS(ROW(),COLUMN()-2,4))*INDIRECT(ADDRESS(ROW(),COLUMN()-1,4))</f>
        <v>150000</v>
      </c>
      <c r="G746" s="5"/>
      <c r="H746" s="5"/>
      <c r="I746" s="5"/>
      <c r="J746" s="5"/>
    </row>
    <row r="747" spans="1:10" ht="13.5" customHeight="1" x14ac:dyDescent="0.2">
      <c r="A747" s="63">
        <v>90152101</v>
      </c>
      <c r="B747" s="64" t="str">
        <f ca="1">IFERROR(INDEX(UNSPSCDes,MATCH(INDIRECT(ADDRESS(ROW(),COLUMN()-1,4)),UNSPSCCode,0)),"")</f>
        <v>Servicios de asistencia personal</v>
      </c>
      <c r="C747" s="63" t="s">
        <v>1449</v>
      </c>
      <c r="D747" s="63">
        <v>1</v>
      </c>
      <c r="E747" s="66">
        <v>300000</v>
      </c>
      <c r="F747" s="65">
        <f ca="1">INDIRECT(ADDRESS(ROW(),COLUMN()-2,4))*INDIRECT(ADDRESS(ROW(),COLUMN()-1,4))</f>
        <v>300000</v>
      </c>
      <c r="G747" s="5"/>
      <c r="H747" s="5"/>
      <c r="I747" s="5"/>
      <c r="J747" s="5"/>
    </row>
    <row r="748" spans="1:10" ht="13.5" customHeight="1" x14ac:dyDescent="0.2">
      <c r="A748" s="63">
        <v>90152101</v>
      </c>
      <c r="B748" s="64" t="str">
        <f ca="1">IFERROR(INDEX(UNSPSCDes,MATCH(INDIRECT(ADDRESS(ROW(),COLUMN()-1,4)),UNSPSCCode,0)),"")</f>
        <v>Servicios de asistencia personal</v>
      </c>
      <c r="C748" s="63" t="s">
        <v>1449</v>
      </c>
      <c r="D748" s="63">
        <v>1</v>
      </c>
      <c r="E748" s="66">
        <v>301520</v>
      </c>
      <c r="F748" s="65">
        <f ca="1">INDIRECT(ADDRESS(ROW(),COLUMN()-2,4))*INDIRECT(ADDRESS(ROW(),COLUMN()-1,4))</f>
        <v>301520</v>
      </c>
      <c r="G748" s="5"/>
      <c r="H748" s="5"/>
      <c r="I748" s="5"/>
      <c r="J748" s="5"/>
    </row>
    <row r="749" spans="1:10" ht="14.1" customHeight="1" x14ac:dyDescent="0.2">
      <c r="A749" s="5"/>
      <c r="B749" s="5"/>
      <c r="C749" s="5"/>
      <c r="D749" s="5"/>
      <c r="E749" s="68" t="s">
        <v>12549</v>
      </c>
      <c r="F749" s="69">
        <f ca="1">SUM(Table369[MONTO TOTAL ESTIMADO])</f>
        <v>751520</v>
      </c>
      <c r="G749" s="5"/>
      <c r="H749" s="5" t="str">
        <f>C739</f>
        <v>Servicios</v>
      </c>
      <c r="I749" s="5" t="str">
        <f>E739</f>
        <v>No</v>
      </c>
      <c r="J749" s="5" t="str">
        <f>D739</f>
        <v>Compras Menores</v>
      </c>
    </row>
    <row r="750" spans="1:10" ht="14.1" customHeight="1" thickBot="1" x14ac:dyDescent="0.3"/>
    <row r="751" spans="1:10" ht="33.75" customHeight="1" thickBot="1" x14ac:dyDescent="0.25">
      <c r="A751" s="59" t="s">
        <v>16382</v>
      </c>
      <c r="B751" s="59" t="s">
        <v>161</v>
      </c>
      <c r="C751" s="59" t="s">
        <v>11723</v>
      </c>
      <c r="D751" s="59" t="s">
        <v>14377</v>
      </c>
      <c r="E751" s="59" t="s">
        <v>10961</v>
      </c>
      <c r="F751" s="59" t="s">
        <v>11094</v>
      </c>
      <c r="G751" s="5"/>
      <c r="H751" s="5"/>
      <c r="I751" s="5"/>
      <c r="J751" s="5"/>
    </row>
    <row r="752" spans="1:10" ht="13.5" customHeight="1" thickBot="1" x14ac:dyDescent="0.25">
      <c r="A752" s="61" t="s">
        <v>18870</v>
      </c>
      <c r="B752" s="61" t="s">
        <v>18872</v>
      </c>
      <c r="C752" s="61" t="s">
        <v>6798</v>
      </c>
      <c r="D752" s="61" t="s">
        <v>17483</v>
      </c>
      <c r="E752" s="61" t="s">
        <v>17854</v>
      </c>
      <c r="F752" s="61"/>
      <c r="G752" s="5"/>
      <c r="H752" s="5"/>
      <c r="I752" s="5"/>
      <c r="J752" s="5"/>
    </row>
    <row r="753" spans="1:10" ht="14.1" customHeight="1" thickBot="1" x14ac:dyDescent="0.25">
      <c r="A753" s="82" t="s">
        <v>14828</v>
      </c>
      <c r="B753" s="62" t="s">
        <v>8528</v>
      </c>
      <c r="C753" s="71">
        <v>44287</v>
      </c>
      <c r="D753" s="82" t="s">
        <v>9385</v>
      </c>
      <c r="E753" s="62" t="s">
        <v>13092</v>
      </c>
      <c r="F753" s="61" t="s">
        <v>3080</v>
      </c>
      <c r="G753" s="5"/>
      <c r="H753" s="5"/>
      <c r="I753" s="5"/>
      <c r="J753" s="5"/>
    </row>
    <row r="754" spans="1:10" ht="14.1" customHeight="1" thickBot="1" x14ac:dyDescent="0.25">
      <c r="A754" s="83"/>
      <c r="B754" s="62" t="s">
        <v>1786</v>
      </c>
      <c r="C754" s="60">
        <f>IF(C753="","",IF(AND(MONTH(C753)&gt;=1,MONTH(C753)&lt;=3),1,IF(AND(MONTH(C753)&gt;=4,MONTH(C753)&lt;=6),2,IF(AND(MONTH(C753)&gt;=7,MONTH(C753)&lt;=9),3,4))))</f>
        <v>2</v>
      </c>
      <c r="D754" s="83"/>
      <c r="E754" s="62" t="s">
        <v>2417</v>
      </c>
      <c r="F754" s="61" t="s">
        <v>11111</v>
      </c>
      <c r="G754" s="5"/>
      <c r="H754" s="5"/>
      <c r="I754" s="5"/>
      <c r="J754" s="5"/>
    </row>
    <row r="755" spans="1:10" ht="14.1" customHeight="1" thickBot="1" x14ac:dyDescent="0.25">
      <c r="A755" s="83"/>
      <c r="B755" s="62" t="s">
        <v>12941</v>
      </c>
      <c r="C755" s="71">
        <v>44301</v>
      </c>
      <c r="D755" s="83"/>
      <c r="E755" s="62" t="s">
        <v>3073</v>
      </c>
      <c r="F755" s="61" t="s">
        <v>11111</v>
      </c>
      <c r="G755" s="5"/>
      <c r="H755" s="5"/>
      <c r="I755" s="5"/>
      <c r="J755" s="5"/>
    </row>
    <row r="756" spans="1:10" ht="14.1" customHeight="1" thickBot="1" x14ac:dyDescent="0.25">
      <c r="A756" s="83"/>
      <c r="B756" s="62" t="s">
        <v>1786</v>
      </c>
      <c r="C756" s="60">
        <f>IF(C755="","",IF(AND(MONTH(C755)&gt;=1,MONTH(C755)&lt;=3),1,IF(AND(MONTH(C755)&gt;=4,MONTH(C755)&lt;=6),2,IF(AND(MONTH(C755)&gt;=7,MONTH(C755)&lt;=9),3,4))))</f>
        <v>2</v>
      </c>
      <c r="D756" s="83"/>
      <c r="E756" s="62" t="s">
        <v>13191</v>
      </c>
      <c r="F756" s="61" t="s">
        <v>11111</v>
      </c>
      <c r="G756" s="5"/>
      <c r="H756" s="5"/>
      <c r="I756" s="5"/>
      <c r="J756" s="5"/>
    </row>
    <row r="757" spans="1:10" ht="14.1" customHeight="1" thickBot="1" x14ac:dyDescent="0.25">
      <c r="A757" s="5"/>
      <c r="B757" s="5"/>
      <c r="C757" s="5"/>
      <c r="D757" s="5"/>
      <c r="E757" s="5"/>
      <c r="F757" s="5"/>
      <c r="G757" s="5"/>
      <c r="H757" s="5"/>
      <c r="I757" s="5"/>
      <c r="J757" s="5"/>
    </row>
    <row r="758" spans="1:10" ht="14.1" customHeight="1" thickBot="1" x14ac:dyDescent="0.25">
      <c r="A758" s="67" t="s">
        <v>15735</v>
      </c>
      <c r="B758" s="67" t="s">
        <v>16146</v>
      </c>
      <c r="C758" s="67" t="s">
        <v>15641</v>
      </c>
      <c r="D758" s="67" t="s">
        <v>15251</v>
      </c>
      <c r="E758" s="67" t="s">
        <v>6932</v>
      </c>
      <c r="F758" s="67" t="s">
        <v>15280</v>
      </c>
      <c r="G758" s="5"/>
      <c r="H758" s="5"/>
      <c r="I758" s="5"/>
      <c r="J758" s="5"/>
    </row>
    <row r="759" spans="1:10" ht="13.5" customHeight="1" x14ac:dyDescent="0.2">
      <c r="A759" s="63">
        <v>90152101</v>
      </c>
      <c r="B759" s="64" t="str">
        <f ca="1">IFERROR(INDEX(UNSPSCDes,MATCH(INDIRECT(ADDRESS(ROW(),COLUMN()-1,4)),UNSPSCCode,0)),"")</f>
        <v>Servicios de asistencia personal</v>
      </c>
      <c r="C759" s="63" t="s">
        <v>1449</v>
      </c>
      <c r="D759" s="63">
        <v>1</v>
      </c>
      <c r="E759" s="66">
        <v>4720</v>
      </c>
      <c r="F759" s="65">
        <f ca="1">INDIRECT(ADDRESS(ROW(),COLUMN()-2,4))*INDIRECT(ADDRESS(ROW(),COLUMN()-1,4))</f>
        <v>4720</v>
      </c>
      <c r="G759" s="5"/>
      <c r="H759" s="5"/>
      <c r="I759" s="5"/>
      <c r="J759" s="5"/>
    </row>
    <row r="760" spans="1:10" ht="13.5" customHeight="1" x14ac:dyDescent="0.2">
      <c r="A760" s="63">
        <v>90152101</v>
      </c>
      <c r="B760" s="64" t="str">
        <f ca="1">IFERROR(INDEX(UNSPSCDes,MATCH(INDIRECT(ADDRESS(ROW(),COLUMN()-1,4)),UNSPSCCode,0)),"")</f>
        <v>Servicios de asistencia personal</v>
      </c>
      <c r="C760" s="63" t="s">
        <v>1449</v>
      </c>
      <c r="D760" s="63">
        <v>1</v>
      </c>
      <c r="E760" s="66">
        <v>300000</v>
      </c>
      <c r="F760" s="65">
        <f ca="1">INDIRECT(ADDRESS(ROW(),COLUMN()-2,4))*INDIRECT(ADDRESS(ROW(),COLUMN()-1,4))</f>
        <v>300000</v>
      </c>
      <c r="G760" s="5"/>
      <c r="H760" s="5"/>
      <c r="I760" s="5"/>
      <c r="J760" s="5"/>
    </row>
    <row r="761" spans="1:10" ht="14.1" customHeight="1" x14ac:dyDescent="0.2">
      <c r="A761" s="5"/>
      <c r="B761" s="5"/>
      <c r="C761" s="5"/>
      <c r="D761" s="5"/>
      <c r="E761" s="68" t="s">
        <v>12549</v>
      </c>
      <c r="F761" s="69">
        <f ca="1">SUM(Table370[MONTO TOTAL ESTIMADO])</f>
        <v>304720</v>
      </c>
      <c r="G761" s="5"/>
      <c r="H761" s="5" t="str">
        <f>C752</f>
        <v>Servicios</v>
      </c>
      <c r="I761" s="5" t="str">
        <f>E752</f>
        <v>No</v>
      </c>
      <c r="J761" s="5" t="str">
        <f>D752</f>
        <v>Compras Menores</v>
      </c>
    </row>
    <row r="762" spans="1:10" ht="14.1" customHeight="1" thickBot="1" x14ac:dyDescent="0.3"/>
    <row r="763" spans="1:10" ht="33.75" customHeight="1" thickBot="1" x14ac:dyDescent="0.25">
      <c r="A763" s="59" t="s">
        <v>16382</v>
      </c>
      <c r="B763" s="59" t="s">
        <v>161</v>
      </c>
      <c r="C763" s="59" t="s">
        <v>11723</v>
      </c>
      <c r="D763" s="59" t="s">
        <v>14377</v>
      </c>
      <c r="E763" s="59" t="s">
        <v>10961</v>
      </c>
      <c r="F763" s="59" t="s">
        <v>11094</v>
      </c>
      <c r="G763" s="5"/>
      <c r="H763" s="5"/>
      <c r="I763" s="5"/>
      <c r="J763" s="5"/>
    </row>
    <row r="764" spans="1:10" ht="13.5" customHeight="1" thickBot="1" x14ac:dyDescent="0.25">
      <c r="A764" s="61" t="s">
        <v>18870</v>
      </c>
      <c r="B764" s="61" t="s">
        <v>18873</v>
      </c>
      <c r="C764" s="61" t="s">
        <v>6798</v>
      </c>
      <c r="D764" s="61" t="s">
        <v>10170</v>
      </c>
      <c r="E764" s="61" t="s">
        <v>8854</v>
      </c>
      <c r="F764" s="61"/>
      <c r="G764" s="5"/>
      <c r="H764" s="5"/>
      <c r="I764" s="5"/>
      <c r="J764" s="5"/>
    </row>
    <row r="765" spans="1:10" ht="14.1" customHeight="1" thickBot="1" x14ac:dyDescent="0.25">
      <c r="A765" s="82" t="s">
        <v>14828</v>
      </c>
      <c r="B765" s="62" t="s">
        <v>8528</v>
      </c>
      <c r="C765" s="71">
        <v>44470</v>
      </c>
      <c r="D765" s="82" t="s">
        <v>9385</v>
      </c>
      <c r="E765" s="62" t="s">
        <v>13092</v>
      </c>
      <c r="F765" s="61" t="s">
        <v>3080</v>
      </c>
      <c r="G765" s="5"/>
      <c r="H765" s="5"/>
      <c r="I765" s="5"/>
      <c r="J765" s="5"/>
    </row>
    <row r="766" spans="1:10" ht="14.1" customHeight="1" thickBot="1" x14ac:dyDescent="0.25">
      <c r="A766" s="83"/>
      <c r="B766" s="62" t="s">
        <v>1786</v>
      </c>
      <c r="C766" s="60">
        <f>IF(C765="","",IF(AND(MONTH(C765)&gt;=1,MONTH(C765)&lt;=3),1,IF(AND(MONTH(C765)&gt;=4,MONTH(C765)&lt;=6),2,IF(AND(MONTH(C765)&gt;=7,MONTH(C765)&lt;=9),3,4))))</f>
        <v>4</v>
      </c>
      <c r="D766" s="83"/>
      <c r="E766" s="62" t="s">
        <v>2417</v>
      </c>
      <c r="F766" s="61" t="s">
        <v>11111</v>
      </c>
      <c r="G766" s="5"/>
      <c r="H766" s="5"/>
      <c r="I766" s="5"/>
      <c r="J766" s="5"/>
    </row>
    <row r="767" spans="1:10" ht="14.1" customHeight="1" thickBot="1" x14ac:dyDescent="0.25">
      <c r="A767" s="83"/>
      <c r="B767" s="62" t="s">
        <v>12941</v>
      </c>
      <c r="C767" s="71">
        <v>44473</v>
      </c>
      <c r="D767" s="83"/>
      <c r="E767" s="62" t="s">
        <v>3073</v>
      </c>
      <c r="F767" s="61" t="s">
        <v>11111</v>
      </c>
      <c r="G767" s="5"/>
      <c r="H767" s="5"/>
      <c r="I767" s="5"/>
      <c r="J767" s="5"/>
    </row>
    <row r="768" spans="1:10" ht="14.1" customHeight="1" thickBot="1" x14ac:dyDescent="0.25">
      <c r="A768" s="83"/>
      <c r="B768" s="62" t="s">
        <v>1786</v>
      </c>
      <c r="C768" s="60">
        <f>IF(C767="","",IF(AND(MONTH(C767)&gt;=1,MONTH(C767)&lt;=3),1,IF(AND(MONTH(C767)&gt;=4,MONTH(C767)&lt;=6),2,IF(AND(MONTH(C767)&gt;=7,MONTH(C767)&lt;=9),3,4))))</f>
        <v>4</v>
      </c>
      <c r="D768" s="83"/>
      <c r="E768" s="62" t="s">
        <v>13191</v>
      </c>
      <c r="F768" s="61" t="s">
        <v>11111</v>
      </c>
      <c r="G768" s="5"/>
      <c r="H768" s="5"/>
      <c r="I768" s="5"/>
      <c r="J768" s="5"/>
    </row>
    <row r="769" spans="1:10" ht="14.1" customHeight="1" thickBot="1" x14ac:dyDescent="0.25">
      <c r="A769" s="5"/>
      <c r="B769" s="5"/>
      <c r="C769" s="5"/>
      <c r="D769" s="5"/>
      <c r="E769" s="5"/>
      <c r="F769" s="5"/>
      <c r="G769" s="5"/>
      <c r="H769" s="5"/>
      <c r="I769" s="5"/>
      <c r="J769" s="5"/>
    </row>
    <row r="770" spans="1:10" ht="14.1" customHeight="1" thickBot="1" x14ac:dyDescent="0.25">
      <c r="A770" s="67" t="s">
        <v>15735</v>
      </c>
      <c r="B770" s="67" t="s">
        <v>16146</v>
      </c>
      <c r="C770" s="67" t="s">
        <v>15641</v>
      </c>
      <c r="D770" s="67" t="s">
        <v>15251</v>
      </c>
      <c r="E770" s="67" t="s">
        <v>6932</v>
      </c>
      <c r="F770" s="67" t="s">
        <v>15280</v>
      </c>
      <c r="G770" s="5"/>
      <c r="H770" s="5"/>
      <c r="I770" s="5"/>
      <c r="J770" s="5"/>
    </row>
    <row r="771" spans="1:10" ht="13.5" customHeight="1" x14ac:dyDescent="0.2">
      <c r="A771" s="63">
        <v>90152101</v>
      </c>
      <c r="B771" s="64" t="str">
        <f ca="1">IFERROR(INDEX(UNSPSCDes,MATCH(INDIRECT(ADDRESS(ROW(),COLUMN()-1,4)),UNSPSCCode,0)),"")</f>
        <v>Servicios de asistencia personal</v>
      </c>
      <c r="C771" s="63" t="s">
        <v>1449</v>
      </c>
      <c r="D771" s="63">
        <v>8</v>
      </c>
      <c r="E771" s="66">
        <v>4000</v>
      </c>
      <c r="F771" s="65">
        <f ca="1">INDIRECT(ADDRESS(ROW(),COLUMN()-2,4))*INDIRECT(ADDRESS(ROW(),COLUMN()-1,4))</f>
        <v>32000</v>
      </c>
      <c r="G771" s="5"/>
      <c r="H771" s="5"/>
      <c r="I771" s="5"/>
      <c r="J771" s="5"/>
    </row>
    <row r="772" spans="1:10" ht="13.5" customHeight="1" x14ac:dyDescent="0.2">
      <c r="A772" s="63">
        <v>90152101</v>
      </c>
      <c r="B772" s="64" t="str">
        <f ca="1">IFERROR(INDEX(UNSPSCDes,MATCH(INDIRECT(ADDRESS(ROW(),COLUMN()-1,4)),UNSPSCCode,0)),"")</f>
        <v>Servicios de asistencia personal</v>
      </c>
      <c r="C772" s="63" t="s">
        <v>1449</v>
      </c>
      <c r="D772" s="63">
        <v>1</v>
      </c>
      <c r="E772" s="66">
        <v>4720</v>
      </c>
      <c r="F772" s="65">
        <f ca="1">INDIRECT(ADDRESS(ROW(),COLUMN()-2,4))*INDIRECT(ADDRESS(ROW(),COLUMN()-1,4))</f>
        <v>4720</v>
      </c>
      <c r="G772" s="5"/>
      <c r="H772" s="5"/>
      <c r="I772" s="5"/>
      <c r="J772" s="5"/>
    </row>
    <row r="773" spans="1:10" ht="14.1" customHeight="1" x14ac:dyDescent="0.2">
      <c r="A773" s="5"/>
      <c r="B773" s="5"/>
      <c r="C773" s="5"/>
      <c r="D773" s="5"/>
      <c r="E773" s="68" t="s">
        <v>12549</v>
      </c>
      <c r="F773" s="69">
        <f ca="1">SUM(Table371[MONTO TOTAL ESTIMADO])</f>
        <v>36720</v>
      </c>
      <c r="G773" s="5"/>
      <c r="H773" s="5" t="str">
        <f>C764</f>
        <v>Servicios</v>
      </c>
      <c r="I773" s="5" t="str">
        <f>E764</f>
        <v>Sí</v>
      </c>
      <c r="J773" s="5" t="str">
        <f>D764</f>
        <v>Compras por debajo del Umbral</v>
      </c>
    </row>
    <row r="774" spans="1:10" ht="14.1" customHeight="1" thickBot="1" x14ac:dyDescent="0.3"/>
    <row r="775" spans="1:10" ht="33.75" customHeight="1" thickBot="1" x14ac:dyDescent="0.25">
      <c r="A775" s="59" t="s">
        <v>16382</v>
      </c>
      <c r="B775" s="59" t="s">
        <v>161</v>
      </c>
      <c r="C775" s="59" t="s">
        <v>11723</v>
      </c>
      <c r="D775" s="59" t="s">
        <v>14377</v>
      </c>
      <c r="E775" s="59" t="s">
        <v>10961</v>
      </c>
      <c r="F775" s="59" t="s">
        <v>11094</v>
      </c>
      <c r="G775" s="5"/>
      <c r="H775" s="5"/>
      <c r="I775" s="5"/>
      <c r="J775" s="5"/>
    </row>
    <row r="776" spans="1:10" ht="13.5" customHeight="1" thickBot="1" x14ac:dyDescent="0.25">
      <c r="A776" s="61" t="s">
        <v>18874</v>
      </c>
      <c r="B776" s="61" t="s">
        <v>18875</v>
      </c>
      <c r="C776" s="61" t="s">
        <v>6798</v>
      </c>
      <c r="D776" s="61" t="s">
        <v>17483</v>
      </c>
      <c r="E776" s="61" t="s">
        <v>6033</v>
      </c>
      <c r="F776" s="61"/>
      <c r="G776" s="5"/>
      <c r="H776" s="5"/>
      <c r="I776" s="5"/>
      <c r="J776" s="5"/>
    </row>
    <row r="777" spans="1:10" ht="14.1" customHeight="1" thickBot="1" x14ac:dyDescent="0.25">
      <c r="A777" s="82" t="s">
        <v>14828</v>
      </c>
      <c r="B777" s="62" t="s">
        <v>8528</v>
      </c>
      <c r="C777" s="71">
        <v>44197</v>
      </c>
      <c r="D777" s="82" t="s">
        <v>9385</v>
      </c>
      <c r="E777" s="62" t="s">
        <v>13092</v>
      </c>
      <c r="F777" s="61" t="s">
        <v>3080</v>
      </c>
      <c r="G777" s="5"/>
      <c r="H777" s="5"/>
      <c r="I777" s="5"/>
      <c r="J777" s="5"/>
    </row>
    <row r="778" spans="1:10" ht="14.1" customHeight="1" thickBot="1" x14ac:dyDescent="0.25">
      <c r="A778" s="83"/>
      <c r="B778" s="62" t="s">
        <v>1786</v>
      </c>
      <c r="C778" s="60">
        <f>IF(C777="","",IF(AND(MONTH(C777)&gt;=1,MONTH(C777)&lt;=3),1,IF(AND(MONTH(C777)&gt;=4,MONTH(C777)&lt;=6),2,IF(AND(MONTH(C777)&gt;=7,MONTH(C777)&lt;=9),3,4))))</f>
        <v>1</v>
      </c>
      <c r="D778" s="83"/>
      <c r="E778" s="62" t="s">
        <v>2417</v>
      </c>
      <c r="F778" s="61" t="s">
        <v>11111</v>
      </c>
      <c r="G778" s="5"/>
      <c r="H778" s="5"/>
      <c r="I778" s="5"/>
      <c r="J778" s="5"/>
    </row>
    <row r="779" spans="1:10" ht="14.1" customHeight="1" thickBot="1" x14ac:dyDescent="0.25">
      <c r="A779" s="83"/>
      <c r="B779" s="62" t="s">
        <v>12941</v>
      </c>
      <c r="C779" s="71">
        <v>44211</v>
      </c>
      <c r="D779" s="83"/>
      <c r="E779" s="62" t="s">
        <v>3073</v>
      </c>
      <c r="F779" s="61" t="s">
        <v>11111</v>
      </c>
      <c r="G779" s="5"/>
      <c r="H779" s="5"/>
      <c r="I779" s="5"/>
      <c r="J779" s="5"/>
    </row>
    <row r="780" spans="1:10" ht="14.1" customHeight="1" thickBot="1" x14ac:dyDescent="0.25">
      <c r="A780" s="83"/>
      <c r="B780" s="62" t="s">
        <v>1786</v>
      </c>
      <c r="C780" s="60">
        <f>IF(C779="","",IF(AND(MONTH(C779)&gt;=1,MONTH(C779)&lt;=3),1,IF(AND(MONTH(C779)&gt;=4,MONTH(C779)&lt;=6),2,IF(AND(MONTH(C779)&gt;=7,MONTH(C779)&lt;=9),3,4))))</f>
        <v>1</v>
      </c>
      <c r="D780" s="83"/>
      <c r="E780" s="62" t="s">
        <v>13191</v>
      </c>
      <c r="F780" s="61" t="s">
        <v>11111</v>
      </c>
      <c r="G780" s="5"/>
      <c r="H780" s="5"/>
      <c r="I780" s="5"/>
      <c r="J780" s="5"/>
    </row>
    <row r="781" spans="1:10" ht="14.1" customHeight="1" thickBot="1" x14ac:dyDescent="0.25">
      <c r="A781" s="5"/>
      <c r="B781" s="5"/>
      <c r="C781" s="5"/>
      <c r="D781" s="5"/>
      <c r="E781" s="5"/>
      <c r="F781" s="5"/>
      <c r="G781" s="5"/>
      <c r="H781" s="5"/>
      <c r="I781" s="5"/>
      <c r="J781" s="5"/>
    </row>
    <row r="782" spans="1:10" ht="14.1" customHeight="1" thickBot="1" x14ac:dyDescent="0.25">
      <c r="A782" s="67" t="s">
        <v>15735</v>
      </c>
      <c r="B782" s="67" t="s">
        <v>16146</v>
      </c>
      <c r="C782" s="67" t="s">
        <v>15641</v>
      </c>
      <c r="D782" s="67" t="s">
        <v>15251</v>
      </c>
      <c r="E782" s="67" t="s">
        <v>6932</v>
      </c>
      <c r="F782" s="67" t="s">
        <v>15280</v>
      </c>
      <c r="G782" s="5"/>
      <c r="H782" s="5"/>
      <c r="I782" s="5"/>
      <c r="J782" s="5"/>
    </row>
    <row r="783" spans="1:10" ht="13.5" customHeight="1" x14ac:dyDescent="0.2">
      <c r="A783" s="63">
        <v>90101603</v>
      </c>
      <c r="B783" s="64" t="str">
        <f ca="1">IFERROR(INDEX(UNSPSCDes,MATCH(INDIRECT(ADDRESS(ROW(),COLUMN()-1,4)),UNSPSCCode,0)),"")</f>
        <v>Servicios de cáterin</v>
      </c>
      <c r="C783" s="63" t="s">
        <v>1449</v>
      </c>
      <c r="D783" s="63">
        <v>1059</v>
      </c>
      <c r="E783" s="66">
        <v>413</v>
      </c>
      <c r="F783" s="65">
        <f ca="1">INDIRECT(ADDRESS(ROW(),COLUMN()-2,4))*INDIRECT(ADDRESS(ROW(),COLUMN()-1,4))</f>
        <v>437367</v>
      </c>
      <c r="G783" s="5"/>
      <c r="H783" s="5"/>
      <c r="I783" s="5"/>
      <c r="J783" s="5"/>
    </row>
    <row r="784" spans="1:10" ht="13.5" customHeight="1" x14ac:dyDescent="0.2">
      <c r="A784" s="63">
        <v>90101603</v>
      </c>
      <c r="B784" s="64" t="str">
        <f ca="1">IFERROR(INDEX(UNSPSCDes,MATCH(INDIRECT(ADDRESS(ROW(),COLUMN()-1,4)),UNSPSCCode,0)),"")</f>
        <v>Servicios de cáterin</v>
      </c>
      <c r="C784" s="63" t="s">
        <v>1449</v>
      </c>
      <c r="D784" s="63">
        <v>1</v>
      </c>
      <c r="E784" s="66">
        <v>35400</v>
      </c>
      <c r="F784" s="65">
        <f ca="1">INDIRECT(ADDRESS(ROW(),COLUMN()-2,4))*INDIRECT(ADDRESS(ROW(),COLUMN()-1,4))</f>
        <v>35400</v>
      </c>
      <c r="G784" s="5"/>
      <c r="H784" s="5"/>
      <c r="I784" s="5"/>
      <c r="J784" s="5"/>
    </row>
    <row r="785" spans="1:10" ht="13.5" customHeight="1" x14ac:dyDescent="0.2">
      <c r="A785" s="63">
        <v>90101603</v>
      </c>
      <c r="B785" s="64" t="str">
        <f ca="1">IFERROR(INDEX(UNSPSCDes,MATCH(INDIRECT(ADDRESS(ROW(),COLUMN()-1,4)),UNSPSCCode,0)),"")</f>
        <v>Servicios de cáterin</v>
      </c>
      <c r="C785" s="63" t="s">
        <v>1449</v>
      </c>
      <c r="D785" s="63">
        <v>1</v>
      </c>
      <c r="E785" s="66">
        <v>87500</v>
      </c>
      <c r="F785" s="65">
        <f ca="1">INDIRECT(ADDRESS(ROW(),COLUMN()-2,4))*INDIRECT(ADDRESS(ROW(),COLUMN()-1,4))</f>
        <v>87500</v>
      </c>
      <c r="G785" s="5"/>
      <c r="H785" s="5"/>
      <c r="I785" s="5"/>
      <c r="J785" s="5"/>
    </row>
    <row r="786" spans="1:10" ht="13.5" customHeight="1" x14ac:dyDescent="0.2">
      <c r="A786" s="63">
        <v>90101603</v>
      </c>
      <c r="B786" s="64" t="str">
        <f ca="1">IFERROR(INDEX(UNSPSCDes,MATCH(INDIRECT(ADDRESS(ROW(),COLUMN()-1,4)),UNSPSCCode,0)),"")</f>
        <v>Servicios de cáterin</v>
      </c>
      <c r="C786" s="63" t="s">
        <v>1449</v>
      </c>
      <c r="D786" s="63">
        <v>33</v>
      </c>
      <c r="E786" s="66">
        <v>590</v>
      </c>
      <c r="F786" s="65">
        <f ca="1">INDIRECT(ADDRESS(ROW(),COLUMN()-2,4))*INDIRECT(ADDRESS(ROW(),COLUMN()-1,4))</f>
        <v>19470</v>
      </c>
      <c r="G786" s="5"/>
      <c r="H786" s="5"/>
      <c r="I786" s="5"/>
      <c r="J786" s="5"/>
    </row>
    <row r="787" spans="1:10" ht="14.1" customHeight="1" x14ac:dyDescent="0.2">
      <c r="A787" s="5"/>
      <c r="B787" s="5"/>
      <c r="C787" s="5"/>
      <c r="D787" s="5"/>
      <c r="E787" s="68" t="s">
        <v>12549</v>
      </c>
      <c r="F787" s="69">
        <f ca="1">SUM(Table372[MONTO TOTAL ESTIMADO])</f>
        <v>579737</v>
      </c>
      <c r="G787" s="5"/>
      <c r="H787" s="5" t="str">
        <f>C776</f>
        <v>Servicios</v>
      </c>
      <c r="I787" s="5" t="str">
        <f>E776</f>
        <v>MIPYME Mujeres</v>
      </c>
      <c r="J787" s="5" t="str">
        <f>D776</f>
        <v>Compras Menores</v>
      </c>
    </row>
    <row r="788" spans="1:10" ht="14.1" customHeight="1" thickBot="1" x14ac:dyDescent="0.3"/>
    <row r="789" spans="1:10" ht="33.75" customHeight="1" thickBot="1" x14ac:dyDescent="0.25">
      <c r="A789" s="59" t="s">
        <v>16382</v>
      </c>
      <c r="B789" s="59" t="s">
        <v>161</v>
      </c>
      <c r="C789" s="59" t="s">
        <v>11723</v>
      </c>
      <c r="D789" s="59" t="s">
        <v>14377</v>
      </c>
      <c r="E789" s="59" t="s">
        <v>10961</v>
      </c>
      <c r="F789" s="59" t="s">
        <v>11094</v>
      </c>
      <c r="G789" s="5"/>
      <c r="H789" s="5"/>
      <c r="I789" s="5"/>
      <c r="J789" s="5"/>
    </row>
    <row r="790" spans="1:10" ht="14.1" customHeight="1" thickBot="1" x14ac:dyDescent="0.25">
      <c r="A790" s="61" t="s">
        <v>18874</v>
      </c>
      <c r="B790" s="61" t="s">
        <v>18875</v>
      </c>
      <c r="C790" s="61" t="s">
        <v>6798</v>
      </c>
      <c r="D790" s="61" t="s">
        <v>1875</v>
      </c>
      <c r="E790" s="61" t="s">
        <v>6033</v>
      </c>
      <c r="F790" s="61"/>
      <c r="G790" s="5"/>
      <c r="H790" s="5"/>
      <c r="I790" s="5"/>
      <c r="J790" s="5"/>
    </row>
    <row r="791" spans="1:10" ht="14.1" customHeight="1" thickBot="1" x14ac:dyDescent="0.25">
      <c r="A791" s="82" t="s">
        <v>14828</v>
      </c>
      <c r="B791" s="62" t="s">
        <v>8528</v>
      </c>
      <c r="C791" s="71">
        <v>44287</v>
      </c>
      <c r="D791" s="82" t="s">
        <v>9385</v>
      </c>
      <c r="E791" s="62" t="s">
        <v>13092</v>
      </c>
      <c r="F791" s="61" t="s">
        <v>3080</v>
      </c>
      <c r="G791" s="5"/>
      <c r="H791" s="5"/>
      <c r="I791" s="5"/>
      <c r="J791" s="5"/>
    </row>
    <row r="792" spans="1:10" ht="14.1" customHeight="1" thickBot="1" x14ac:dyDescent="0.25">
      <c r="A792" s="83"/>
      <c r="B792" s="62" t="s">
        <v>1786</v>
      </c>
      <c r="C792" s="60">
        <f>IF(C791="","",IF(AND(MONTH(C791)&gt;=1,MONTH(C791)&lt;=3),1,IF(AND(MONTH(C791)&gt;=4,MONTH(C791)&lt;=6),2,IF(AND(MONTH(C791)&gt;=7,MONTH(C791)&lt;=9),3,4))))</f>
        <v>2</v>
      </c>
      <c r="D792" s="83"/>
      <c r="E792" s="62" t="s">
        <v>2417</v>
      </c>
      <c r="F792" s="61" t="s">
        <v>11111</v>
      </c>
      <c r="G792" s="5"/>
      <c r="H792" s="5"/>
      <c r="I792" s="5"/>
      <c r="J792" s="5"/>
    </row>
    <row r="793" spans="1:10" ht="14.1" customHeight="1" thickBot="1" x14ac:dyDescent="0.25">
      <c r="A793" s="83"/>
      <c r="B793" s="62" t="s">
        <v>12941</v>
      </c>
      <c r="C793" s="71">
        <v>44301</v>
      </c>
      <c r="D793" s="83"/>
      <c r="E793" s="62" t="s">
        <v>3073</v>
      </c>
      <c r="F793" s="61" t="s">
        <v>11111</v>
      </c>
      <c r="G793" s="5"/>
      <c r="H793" s="5"/>
      <c r="I793" s="5"/>
      <c r="J793" s="5"/>
    </row>
    <row r="794" spans="1:10" ht="14.1" customHeight="1" thickBot="1" x14ac:dyDescent="0.25">
      <c r="A794" s="83"/>
      <c r="B794" s="62" t="s">
        <v>1786</v>
      </c>
      <c r="C794" s="60">
        <f>IF(C793="","",IF(AND(MONTH(C793)&gt;=1,MONTH(C793)&lt;=3),1,IF(AND(MONTH(C793)&gt;=4,MONTH(C793)&lt;=6),2,IF(AND(MONTH(C793)&gt;=7,MONTH(C793)&lt;=9),3,4))))</f>
        <v>2</v>
      </c>
      <c r="D794" s="83"/>
      <c r="E794" s="62" t="s">
        <v>13191</v>
      </c>
      <c r="F794" s="61" t="s">
        <v>11111</v>
      </c>
      <c r="G794" s="5"/>
      <c r="H794" s="5"/>
      <c r="I794" s="5"/>
      <c r="J794" s="5"/>
    </row>
    <row r="795" spans="1:10" ht="14.1" customHeight="1" thickBot="1" x14ac:dyDescent="0.25">
      <c r="A795" s="5"/>
      <c r="B795" s="5"/>
      <c r="C795" s="5"/>
      <c r="D795" s="5"/>
      <c r="E795" s="5"/>
      <c r="F795" s="5"/>
      <c r="G795" s="5"/>
      <c r="H795" s="5"/>
      <c r="I795" s="5"/>
      <c r="J795" s="5"/>
    </row>
    <row r="796" spans="1:10" ht="14.1" customHeight="1" thickBot="1" x14ac:dyDescent="0.25">
      <c r="A796" s="67" t="s">
        <v>15735</v>
      </c>
      <c r="B796" s="67" t="s">
        <v>16146</v>
      </c>
      <c r="C796" s="67" t="s">
        <v>15641</v>
      </c>
      <c r="D796" s="67" t="s">
        <v>15251</v>
      </c>
      <c r="E796" s="67" t="s">
        <v>6932</v>
      </c>
      <c r="F796" s="67" t="s">
        <v>15280</v>
      </c>
      <c r="G796" s="5"/>
      <c r="H796" s="5"/>
      <c r="I796" s="5"/>
      <c r="J796" s="5"/>
    </row>
    <row r="797" spans="1:10" ht="13.5" customHeight="1" x14ac:dyDescent="0.2">
      <c r="A797" s="63">
        <v>90101603</v>
      </c>
      <c r="B797" s="64" t="str">
        <f t="shared" ref="B797:B802" ca="1" si="0">IFERROR(INDEX(UNSPSCDes,MATCH(INDIRECT(ADDRESS(ROW(),COLUMN()-1,4)),UNSPSCCode,0)),"")</f>
        <v>Servicios de cáterin</v>
      </c>
      <c r="C797" s="63" t="s">
        <v>1449</v>
      </c>
      <c r="D797" s="63">
        <v>100</v>
      </c>
      <c r="E797" s="66">
        <v>118</v>
      </c>
      <c r="F797" s="65">
        <f t="shared" ref="F797:F802" ca="1" si="1">INDIRECT(ADDRESS(ROW(),COLUMN()-2,4))*INDIRECT(ADDRESS(ROW(),COLUMN()-1,4))</f>
        <v>11800</v>
      </c>
      <c r="G797" s="5"/>
      <c r="H797" s="5"/>
      <c r="I797" s="5"/>
      <c r="J797" s="5"/>
    </row>
    <row r="798" spans="1:10" ht="13.5" customHeight="1" x14ac:dyDescent="0.2">
      <c r="A798" s="63">
        <v>90101603</v>
      </c>
      <c r="B798" s="64" t="str">
        <f t="shared" ca="1" si="0"/>
        <v>Servicios de cáterin</v>
      </c>
      <c r="C798" s="63" t="s">
        <v>1449</v>
      </c>
      <c r="D798" s="63">
        <v>1686</v>
      </c>
      <c r="E798" s="66">
        <v>413</v>
      </c>
      <c r="F798" s="65">
        <f t="shared" ca="1" si="1"/>
        <v>696318</v>
      </c>
      <c r="G798" s="5"/>
      <c r="H798" s="5"/>
      <c r="I798" s="5"/>
      <c r="J798" s="5"/>
    </row>
    <row r="799" spans="1:10" ht="13.5" customHeight="1" x14ac:dyDescent="0.2">
      <c r="A799" s="63">
        <v>90101603</v>
      </c>
      <c r="B799" s="64" t="str">
        <f t="shared" ca="1" si="0"/>
        <v>Servicios de cáterin</v>
      </c>
      <c r="C799" s="63" t="s">
        <v>1449</v>
      </c>
      <c r="D799" s="63">
        <v>140</v>
      </c>
      <c r="E799" s="66">
        <v>2000</v>
      </c>
      <c r="F799" s="65">
        <f t="shared" ca="1" si="1"/>
        <v>280000</v>
      </c>
      <c r="G799" s="5"/>
      <c r="H799" s="5"/>
      <c r="I799" s="5"/>
      <c r="J799" s="5"/>
    </row>
    <row r="800" spans="1:10" ht="13.5" customHeight="1" x14ac:dyDescent="0.2">
      <c r="A800" s="63">
        <v>90101603</v>
      </c>
      <c r="B800" s="64" t="str">
        <f t="shared" ca="1" si="0"/>
        <v>Servicios de cáterin</v>
      </c>
      <c r="C800" s="63" t="s">
        <v>1449</v>
      </c>
      <c r="D800" s="63">
        <v>1</v>
      </c>
      <c r="E800" s="66">
        <v>35400</v>
      </c>
      <c r="F800" s="65">
        <f t="shared" ca="1" si="1"/>
        <v>35400</v>
      </c>
      <c r="G800" s="5"/>
      <c r="H800" s="5"/>
      <c r="I800" s="5"/>
      <c r="J800" s="5"/>
    </row>
    <row r="801" spans="1:10" ht="13.5" customHeight="1" x14ac:dyDescent="0.2">
      <c r="A801" s="63">
        <v>90101603</v>
      </c>
      <c r="B801" s="64" t="str">
        <f t="shared" ca="1" si="0"/>
        <v>Servicios de cáterin</v>
      </c>
      <c r="C801" s="63" t="s">
        <v>1449</v>
      </c>
      <c r="D801" s="63">
        <v>1</v>
      </c>
      <c r="E801" s="66">
        <v>87500</v>
      </c>
      <c r="F801" s="65">
        <f t="shared" ca="1" si="1"/>
        <v>87500</v>
      </c>
      <c r="G801" s="5"/>
      <c r="H801" s="5"/>
      <c r="I801" s="5"/>
      <c r="J801" s="5"/>
    </row>
    <row r="802" spans="1:10" ht="13.5" customHeight="1" x14ac:dyDescent="0.2">
      <c r="A802" s="63">
        <v>90101603</v>
      </c>
      <c r="B802" s="64" t="str">
        <f t="shared" ca="1" si="0"/>
        <v>Servicios de cáterin</v>
      </c>
      <c r="C802" s="63" t="s">
        <v>1449</v>
      </c>
      <c r="D802" s="63">
        <v>275</v>
      </c>
      <c r="E802" s="66">
        <v>413.72365000000002</v>
      </c>
      <c r="F802" s="65">
        <f t="shared" ca="1" si="1"/>
        <v>113774.00375</v>
      </c>
      <c r="G802" s="5"/>
      <c r="H802" s="5"/>
      <c r="I802" s="5"/>
      <c r="J802" s="5"/>
    </row>
    <row r="803" spans="1:10" ht="14.1" customHeight="1" x14ac:dyDescent="0.2">
      <c r="A803" s="5"/>
      <c r="B803" s="5"/>
      <c r="C803" s="5"/>
      <c r="D803" s="5"/>
      <c r="E803" s="68" t="s">
        <v>12549</v>
      </c>
      <c r="F803" s="69">
        <f ca="1">SUM(Table373[MONTO TOTAL ESTIMADO])</f>
        <v>1224792.0037499999</v>
      </c>
      <c r="G803" s="5"/>
      <c r="H803" s="5" t="str">
        <f>C790</f>
        <v>Servicios</v>
      </c>
      <c r="I803" s="5" t="str">
        <f>E790</f>
        <v>MIPYME Mujeres</v>
      </c>
      <c r="J803" s="5" t="str">
        <f>D790</f>
        <v>Comparacion de Precios</v>
      </c>
    </row>
    <row r="804" spans="1:10" ht="14.1" customHeight="1" thickBot="1" x14ac:dyDescent="0.3"/>
    <row r="805" spans="1:10" ht="33.75" customHeight="1" thickBot="1" x14ac:dyDescent="0.25">
      <c r="A805" s="59" t="s">
        <v>16382</v>
      </c>
      <c r="B805" s="59" t="s">
        <v>161</v>
      </c>
      <c r="C805" s="59" t="s">
        <v>11723</v>
      </c>
      <c r="D805" s="59" t="s">
        <v>14377</v>
      </c>
      <c r="E805" s="59" t="s">
        <v>10961</v>
      </c>
      <c r="F805" s="59" t="s">
        <v>11094</v>
      </c>
      <c r="G805" s="5"/>
      <c r="H805" s="5"/>
      <c r="I805" s="5"/>
      <c r="J805" s="5"/>
    </row>
    <row r="806" spans="1:10" ht="14.1" customHeight="1" thickBot="1" x14ac:dyDescent="0.25">
      <c r="A806" s="61" t="s">
        <v>18874</v>
      </c>
      <c r="B806" s="61" t="s">
        <v>18875</v>
      </c>
      <c r="C806" s="61" t="s">
        <v>6798</v>
      </c>
      <c r="D806" s="61" t="s">
        <v>1875</v>
      </c>
      <c r="E806" s="61" t="s">
        <v>6033</v>
      </c>
      <c r="F806" s="61"/>
      <c r="G806" s="5"/>
      <c r="H806" s="5"/>
      <c r="I806" s="5"/>
      <c r="J806" s="5"/>
    </row>
    <row r="807" spans="1:10" ht="14.1" customHeight="1" thickBot="1" x14ac:dyDescent="0.25">
      <c r="A807" s="82" t="s">
        <v>14828</v>
      </c>
      <c r="B807" s="62" t="s">
        <v>8528</v>
      </c>
      <c r="C807" s="71">
        <v>44378</v>
      </c>
      <c r="D807" s="82" t="s">
        <v>9385</v>
      </c>
      <c r="E807" s="62" t="s">
        <v>13092</v>
      </c>
      <c r="F807" s="61" t="s">
        <v>3080</v>
      </c>
      <c r="G807" s="5"/>
      <c r="H807" s="5"/>
      <c r="I807" s="5"/>
      <c r="J807" s="5"/>
    </row>
    <row r="808" spans="1:10" ht="14.1" customHeight="1" thickBot="1" x14ac:dyDescent="0.25">
      <c r="A808" s="83"/>
      <c r="B808" s="62" t="s">
        <v>1786</v>
      </c>
      <c r="C808" s="60">
        <f>IF(C807="","",IF(AND(MONTH(C807)&gt;=1,MONTH(C807)&lt;=3),1,IF(AND(MONTH(C807)&gt;=4,MONTH(C807)&lt;=6),2,IF(AND(MONTH(C807)&gt;=7,MONTH(C807)&lt;=9),3,4))))</f>
        <v>3</v>
      </c>
      <c r="D808" s="83"/>
      <c r="E808" s="62" t="s">
        <v>2417</v>
      </c>
      <c r="F808" s="61" t="s">
        <v>11111</v>
      </c>
      <c r="G808" s="5"/>
      <c r="H808" s="5"/>
      <c r="I808" s="5"/>
      <c r="J808" s="5"/>
    </row>
    <row r="809" spans="1:10" ht="14.1" customHeight="1" thickBot="1" x14ac:dyDescent="0.25">
      <c r="A809" s="83"/>
      <c r="B809" s="62" t="s">
        <v>12941</v>
      </c>
      <c r="C809" s="71">
        <v>44392</v>
      </c>
      <c r="D809" s="83"/>
      <c r="E809" s="62" t="s">
        <v>3073</v>
      </c>
      <c r="F809" s="61" t="s">
        <v>11111</v>
      </c>
      <c r="G809" s="5"/>
      <c r="H809" s="5"/>
      <c r="I809" s="5"/>
      <c r="J809" s="5"/>
    </row>
    <row r="810" spans="1:10" ht="14.1" customHeight="1" thickBot="1" x14ac:dyDescent="0.25">
      <c r="A810" s="83"/>
      <c r="B810" s="62" t="s">
        <v>1786</v>
      </c>
      <c r="C810" s="60">
        <f>IF(C809="","",IF(AND(MONTH(C809)&gt;=1,MONTH(C809)&lt;=3),1,IF(AND(MONTH(C809)&gt;=4,MONTH(C809)&lt;=6),2,IF(AND(MONTH(C809)&gt;=7,MONTH(C809)&lt;=9),3,4))))</f>
        <v>3</v>
      </c>
      <c r="D810" s="83"/>
      <c r="E810" s="62" t="s">
        <v>13191</v>
      </c>
      <c r="F810" s="61" t="s">
        <v>11111</v>
      </c>
      <c r="G810" s="5"/>
      <c r="H810" s="5"/>
      <c r="I810" s="5"/>
      <c r="J810" s="5"/>
    </row>
    <row r="811" spans="1:10" ht="14.1" customHeight="1" thickBot="1" x14ac:dyDescent="0.25">
      <c r="A811" s="5"/>
      <c r="B811" s="5"/>
      <c r="C811" s="5"/>
      <c r="D811" s="5"/>
      <c r="E811" s="5"/>
      <c r="F811" s="5"/>
      <c r="G811" s="5"/>
      <c r="H811" s="5"/>
      <c r="I811" s="5"/>
      <c r="J811" s="5"/>
    </row>
    <row r="812" spans="1:10" ht="14.1" customHeight="1" thickBot="1" x14ac:dyDescent="0.25">
      <c r="A812" s="67" t="s">
        <v>15735</v>
      </c>
      <c r="B812" s="67" t="s">
        <v>16146</v>
      </c>
      <c r="C812" s="67" t="s">
        <v>15641</v>
      </c>
      <c r="D812" s="67" t="s">
        <v>15251</v>
      </c>
      <c r="E812" s="67" t="s">
        <v>6932</v>
      </c>
      <c r="F812" s="67" t="s">
        <v>15280</v>
      </c>
      <c r="G812" s="5"/>
      <c r="H812" s="5"/>
      <c r="I812" s="5"/>
      <c r="J812" s="5"/>
    </row>
    <row r="813" spans="1:10" ht="13.5" customHeight="1" x14ac:dyDescent="0.2">
      <c r="A813" s="63">
        <v>90101603</v>
      </c>
      <c r="B813" s="64" t="str">
        <f ca="1">IFERROR(INDEX(UNSPSCDes,MATCH(INDIRECT(ADDRESS(ROW(),COLUMN()-1,4)),UNSPSCCode,0)),"")</f>
        <v>Servicios de cáterin</v>
      </c>
      <c r="C813" s="63" t="s">
        <v>1449</v>
      </c>
      <c r="D813" s="63">
        <v>1599</v>
      </c>
      <c r="E813" s="66">
        <v>413</v>
      </c>
      <c r="F813" s="65">
        <f ca="1">INDIRECT(ADDRESS(ROW(),COLUMN()-2,4))*INDIRECT(ADDRESS(ROW(),COLUMN()-1,4))</f>
        <v>660387</v>
      </c>
      <c r="G813" s="5"/>
      <c r="H813" s="5"/>
      <c r="I813" s="5"/>
      <c r="J813" s="5"/>
    </row>
    <row r="814" spans="1:10" ht="13.5" customHeight="1" x14ac:dyDescent="0.2">
      <c r="A814" s="63">
        <v>90101603</v>
      </c>
      <c r="B814" s="64" t="str">
        <f ca="1">IFERROR(INDEX(UNSPSCDes,MATCH(INDIRECT(ADDRESS(ROW(),COLUMN()-1,4)),UNSPSCCode,0)),"")</f>
        <v>Servicios de cáterin</v>
      </c>
      <c r="C814" s="63" t="s">
        <v>1449</v>
      </c>
      <c r="D814" s="63">
        <v>195</v>
      </c>
      <c r="E814" s="66">
        <v>1416</v>
      </c>
      <c r="F814" s="65">
        <f ca="1">INDIRECT(ADDRESS(ROW(),COLUMN()-2,4))*INDIRECT(ADDRESS(ROW(),COLUMN()-1,4))</f>
        <v>276120</v>
      </c>
      <c r="G814" s="5"/>
      <c r="H814" s="5"/>
      <c r="I814" s="5"/>
      <c r="J814" s="5"/>
    </row>
    <row r="815" spans="1:10" ht="13.5" customHeight="1" x14ac:dyDescent="0.2">
      <c r="A815" s="63">
        <v>90101603</v>
      </c>
      <c r="B815" s="64" t="str">
        <f ca="1">IFERROR(INDEX(UNSPSCDes,MATCH(INDIRECT(ADDRESS(ROW(),COLUMN()-1,4)),UNSPSCCode,0)),"")</f>
        <v>Servicios de cáterin</v>
      </c>
      <c r="C815" s="63" t="s">
        <v>1449</v>
      </c>
      <c r="D815" s="63">
        <v>1</v>
      </c>
      <c r="E815" s="66">
        <v>35400</v>
      </c>
      <c r="F815" s="65">
        <f ca="1">INDIRECT(ADDRESS(ROW(),COLUMN()-2,4))*INDIRECT(ADDRESS(ROW(),COLUMN()-1,4))</f>
        <v>35400</v>
      </c>
      <c r="G815" s="5"/>
      <c r="H815" s="5"/>
      <c r="I815" s="5"/>
      <c r="J815" s="5"/>
    </row>
    <row r="816" spans="1:10" ht="13.5" customHeight="1" x14ac:dyDescent="0.2">
      <c r="A816" s="63">
        <v>90101603</v>
      </c>
      <c r="B816" s="64" t="str">
        <f ca="1">IFERROR(INDEX(UNSPSCDes,MATCH(INDIRECT(ADDRESS(ROW(),COLUMN()-1,4)),UNSPSCCode,0)),"")</f>
        <v>Servicios de cáterin</v>
      </c>
      <c r="C816" s="63" t="s">
        <v>1449</v>
      </c>
      <c r="D816" s="63">
        <v>1</v>
      </c>
      <c r="E816" s="66">
        <v>87500</v>
      </c>
      <c r="F816" s="65">
        <f ca="1">INDIRECT(ADDRESS(ROW(),COLUMN()-2,4))*INDIRECT(ADDRESS(ROW(),COLUMN()-1,4))</f>
        <v>87500</v>
      </c>
      <c r="G816" s="5"/>
      <c r="H816" s="5"/>
      <c r="I816" s="5"/>
      <c r="J816" s="5"/>
    </row>
    <row r="817" spans="1:10" ht="14.1" customHeight="1" x14ac:dyDescent="0.2">
      <c r="A817" s="5"/>
      <c r="B817" s="5"/>
      <c r="C817" s="5"/>
      <c r="D817" s="5"/>
      <c r="E817" s="68" t="s">
        <v>12549</v>
      </c>
      <c r="F817" s="69">
        <f ca="1">SUM(Table374[MONTO TOTAL ESTIMADO])</f>
        <v>1059407</v>
      </c>
      <c r="G817" s="5"/>
      <c r="H817" s="5" t="str">
        <f>C806</f>
        <v>Servicios</v>
      </c>
      <c r="I817" s="5" t="str">
        <f>E806</f>
        <v>MIPYME Mujeres</v>
      </c>
      <c r="J817" s="5" t="str">
        <f>D806</f>
        <v>Comparacion de Precios</v>
      </c>
    </row>
    <row r="818" spans="1:10" ht="14.1" customHeight="1" thickBot="1" x14ac:dyDescent="0.3"/>
    <row r="819" spans="1:10" ht="33.75" customHeight="1" thickBot="1" x14ac:dyDescent="0.25">
      <c r="A819" s="59" t="s">
        <v>16382</v>
      </c>
      <c r="B819" s="59" t="s">
        <v>161</v>
      </c>
      <c r="C819" s="59" t="s">
        <v>11723</v>
      </c>
      <c r="D819" s="59" t="s">
        <v>14377</v>
      </c>
      <c r="E819" s="59" t="s">
        <v>10961</v>
      </c>
      <c r="F819" s="59" t="s">
        <v>11094</v>
      </c>
      <c r="G819" s="5"/>
      <c r="H819" s="5"/>
      <c r="I819" s="5"/>
      <c r="J819" s="5"/>
    </row>
    <row r="820" spans="1:10" ht="14.1" customHeight="1" thickBot="1" x14ac:dyDescent="0.25">
      <c r="A820" s="61" t="s">
        <v>18874</v>
      </c>
      <c r="B820" s="61" t="s">
        <v>18875</v>
      </c>
      <c r="C820" s="61" t="s">
        <v>6798</v>
      </c>
      <c r="D820" s="61" t="s">
        <v>17483</v>
      </c>
      <c r="E820" s="61" t="s">
        <v>6033</v>
      </c>
      <c r="F820" s="61"/>
      <c r="G820" s="5"/>
      <c r="H820" s="5"/>
      <c r="I820" s="5"/>
      <c r="J820" s="5"/>
    </row>
    <row r="821" spans="1:10" ht="14.1" customHeight="1" thickBot="1" x14ac:dyDescent="0.25">
      <c r="A821" s="82" t="s">
        <v>14828</v>
      </c>
      <c r="B821" s="62" t="s">
        <v>8528</v>
      </c>
      <c r="C821" s="71">
        <v>44470</v>
      </c>
      <c r="D821" s="82" t="s">
        <v>9385</v>
      </c>
      <c r="E821" s="62" t="s">
        <v>13092</v>
      </c>
      <c r="F821" s="61" t="s">
        <v>3080</v>
      </c>
      <c r="G821" s="5"/>
      <c r="H821" s="5"/>
      <c r="I821" s="5"/>
      <c r="J821" s="5"/>
    </row>
    <row r="822" spans="1:10" ht="14.1" customHeight="1" thickBot="1" x14ac:dyDescent="0.25">
      <c r="A822" s="83"/>
      <c r="B822" s="62" t="s">
        <v>1786</v>
      </c>
      <c r="C822" s="60">
        <f>IF(C821="","",IF(AND(MONTH(C821)&gt;=1,MONTH(C821)&lt;=3),1,IF(AND(MONTH(C821)&gt;=4,MONTH(C821)&lt;=6),2,IF(AND(MONTH(C821)&gt;=7,MONTH(C821)&lt;=9),3,4))))</f>
        <v>4</v>
      </c>
      <c r="D822" s="83"/>
      <c r="E822" s="62" t="s">
        <v>2417</v>
      </c>
      <c r="F822" s="61" t="s">
        <v>11111</v>
      </c>
      <c r="G822" s="5"/>
      <c r="H822" s="5"/>
      <c r="I822" s="5"/>
      <c r="J822" s="5"/>
    </row>
    <row r="823" spans="1:10" ht="14.1" customHeight="1" thickBot="1" x14ac:dyDescent="0.25">
      <c r="A823" s="83"/>
      <c r="B823" s="62" t="s">
        <v>12941</v>
      </c>
      <c r="C823" s="71">
        <v>44484</v>
      </c>
      <c r="D823" s="83"/>
      <c r="E823" s="62" t="s">
        <v>3073</v>
      </c>
      <c r="F823" s="61" t="s">
        <v>11111</v>
      </c>
      <c r="G823" s="5"/>
      <c r="H823" s="5"/>
      <c r="I823" s="5"/>
      <c r="J823" s="5"/>
    </row>
    <row r="824" spans="1:10" ht="14.1" customHeight="1" thickBot="1" x14ac:dyDescent="0.25">
      <c r="A824" s="83"/>
      <c r="B824" s="62" t="s">
        <v>1786</v>
      </c>
      <c r="C824" s="60">
        <f>IF(C823="","",IF(AND(MONTH(C823)&gt;=1,MONTH(C823)&lt;=3),1,IF(AND(MONTH(C823)&gt;=4,MONTH(C823)&lt;=6),2,IF(AND(MONTH(C823)&gt;=7,MONTH(C823)&lt;=9),3,4))))</f>
        <v>4</v>
      </c>
      <c r="D824" s="83"/>
      <c r="E824" s="62" t="s">
        <v>13191</v>
      </c>
      <c r="F824" s="61" t="s">
        <v>11111</v>
      </c>
      <c r="G824" s="5"/>
      <c r="H824" s="5"/>
      <c r="I824" s="5"/>
      <c r="J824" s="5"/>
    </row>
    <row r="825" spans="1:10" ht="14.1" customHeight="1" thickBot="1" x14ac:dyDescent="0.25">
      <c r="A825" s="5"/>
      <c r="B825" s="5"/>
      <c r="C825" s="5"/>
      <c r="D825" s="5"/>
      <c r="E825" s="5"/>
      <c r="F825" s="5"/>
      <c r="G825" s="5"/>
      <c r="H825" s="5"/>
      <c r="I825" s="5"/>
      <c r="J825" s="5"/>
    </row>
    <row r="826" spans="1:10" ht="14.1" customHeight="1" thickBot="1" x14ac:dyDescent="0.25">
      <c r="A826" s="67" t="s">
        <v>15735</v>
      </c>
      <c r="B826" s="67" t="s">
        <v>16146</v>
      </c>
      <c r="C826" s="67" t="s">
        <v>15641</v>
      </c>
      <c r="D826" s="67" t="s">
        <v>15251</v>
      </c>
      <c r="E826" s="67" t="s">
        <v>6932</v>
      </c>
      <c r="F826" s="67" t="s">
        <v>15280</v>
      </c>
      <c r="G826" s="5"/>
      <c r="H826" s="5"/>
      <c r="I826" s="5"/>
      <c r="J826" s="5"/>
    </row>
    <row r="827" spans="1:10" ht="13.5" customHeight="1" x14ac:dyDescent="0.2">
      <c r="A827" s="63">
        <v>90101603</v>
      </c>
      <c r="B827" s="64" t="str">
        <f t="shared" ref="B827:B832" ca="1" si="2">IFERROR(INDEX(UNSPSCDes,MATCH(INDIRECT(ADDRESS(ROW(),COLUMN()-1,4)),UNSPSCCode,0)),"")</f>
        <v>Servicios de cáterin</v>
      </c>
      <c r="C827" s="63" t="s">
        <v>1449</v>
      </c>
      <c r="D827" s="63">
        <v>1587</v>
      </c>
      <c r="E827" s="66">
        <v>413</v>
      </c>
      <c r="F827" s="65">
        <f t="shared" ref="F827:F832" ca="1" si="3">INDIRECT(ADDRESS(ROW(),COLUMN()-2,4))*INDIRECT(ADDRESS(ROW(),COLUMN()-1,4))</f>
        <v>655431</v>
      </c>
      <c r="G827" s="5"/>
      <c r="H827" s="5"/>
      <c r="I827" s="5"/>
      <c r="J827" s="5"/>
    </row>
    <row r="828" spans="1:10" ht="13.5" customHeight="1" x14ac:dyDescent="0.2">
      <c r="A828" s="63">
        <v>90101603</v>
      </c>
      <c r="B828" s="64" t="str">
        <f t="shared" ca="1" si="2"/>
        <v>Servicios de cáterin</v>
      </c>
      <c r="C828" s="63" t="s">
        <v>1449</v>
      </c>
      <c r="D828" s="63">
        <v>100</v>
      </c>
      <c r="E828" s="66">
        <v>590</v>
      </c>
      <c r="F828" s="65">
        <f t="shared" ca="1" si="3"/>
        <v>59000</v>
      </c>
      <c r="G828" s="5"/>
      <c r="H828" s="5"/>
      <c r="I828" s="5"/>
      <c r="J828" s="5"/>
    </row>
    <row r="829" spans="1:10" ht="13.5" customHeight="1" x14ac:dyDescent="0.2">
      <c r="A829" s="63">
        <v>90101603</v>
      </c>
      <c r="B829" s="64" t="str">
        <f t="shared" ca="1" si="2"/>
        <v>Servicios de cáterin</v>
      </c>
      <c r="C829" s="63" t="s">
        <v>1449</v>
      </c>
      <c r="D829" s="63">
        <v>50</v>
      </c>
      <c r="E829" s="66">
        <v>118</v>
      </c>
      <c r="F829" s="65">
        <f t="shared" ca="1" si="3"/>
        <v>5900</v>
      </c>
      <c r="G829" s="5"/>
      <c r="H829" s="5"/>
      <c r="I829" s="5"/>
      <c r="J829" s="5"/>
    </row>
    <row r="830" spans="1:10" ht="13.5" customHeight="1" x14ac:dyDescent="0.2">
      <c r="A830" s="63">
        <v>90101603</v>
      </c>
      <c r="B830" s="64" t="str">
        <f t="shared" ca="1" si="2"/>
        <v>Servicios de cáterin</v>
      </c>
      <c r="C830" s="63" t="s">
        <v>1449</v>
      </c>
      <c r="D830" s="63">
        <v>50</v>
      </c>
      <c r="E830" s="66">
        <v>1416</v>
      </c>
      <c r="F830" s="65">
        <f t="shared" ca="1" si="3"/>
        <v>70800</v>
      </c>
      <c r="G830" s="5"/>
      <c r="H830" s="5"/>
      <c r="I830" s="5"/>
      <c r="J830" s="5"/>
    </row>
    <row r="831" spans="1:10" ht="13.5" customHeight="1" x14ac:dyDescent="0.2">
      <c r="A831" s="63">
        <v>90101603</v>
      </c>
      <c r="B831" s="64" t="str">
        <f t="shared" ca="1" si="2"/>
        <v>Servicios de cáterin</v>
      </c>
      <c r="C831" s="63" t="s">
        <v>1449</v>
      </c>
      <c r="D831" s="63">
        <v>1</v>
      </c>
      <c r="E831" s="66">
        <v>35400</v>
      </c>
      <c r="F831" s="65">
        <f t="shared" ca="1" si="3"/>
        <v>35400</v>
      </c>
      <c r="G831" s="5"/>
      <c r="H831" s="5"/>
      <c r="I831" s="5"/>
      <c r="J831" s="5"/>
    </row>
    <row r="832" spans="1:10" ht="13.5" customHeight="1" x14ac:dyDescent="0.2">
      <c r="A832" s="63">
        <v>90101603</v>
      </c>
      <c r="B832" s="64" t="str">
        <f t="shared" ca="1" si="2"/>
        <v>Servicios de cáterin</v>
      </c>
      <c r="C832" s="63" t="s">
        <v>1449</v>
      </c>
      <c r="D832" s="63">
        <v>1</v>
      </c>
      <c r="E832" s="66">
        <v>87500</v>
      </c>
      <c r="F832" s="65">
        <f t="shared" ca="1" si="3"/>
        <v>87500</v>
      </c>
      <c r="G832" s="5"/>
      <c r="H832" s="5"/>
      <c r="I832" s="5"/>
      <c r="J832" s="5"/>
    </row>
    <row r="833" spans="1:10" ht="14.1" customHeight="1" x14ac:dyDescent="0.2">
      <c r="A833" s="5"/>
      <c r="B833" s="5"/>
      <c r="C833" s="5"/>
      <c r="D833" s="5"/>
      <c r="E833" s="68" t="s">
        <v>12549</v>
      </c>
      <c r="F833" s="69">
        <f ca="1">SUM(Table375[MONTO TOTAL ESTIMADO])</f>
        <v>914031</v>
      </c>
      <c r="G833" s="5"/>
      <c r="H833" s="5" t="str">
        <f>C820</f>
        <v>Servicios</v>
      </c>
      <c r="I833" s="5" t="str">
        <f>E820</f>
        <v>MIPYME Mujeres</v>
      </c>
      <c r="J833" s="5" t="str">
        <f>D820</f>
        <v>Compras Menores</v>
      </c>
    </row>
    <row r="834" spans="1:10" ht="14.1" customHeight="1" thickBot="1" x14ac:dyDescent="0.3"/>
    <row r="835" spans="1:10" ht="33.75" customHeight="1" thickBot="1" x14ac:dyDescent="0.25">
      <c r="A835" s="59" t="s">
        <v>16382</v>
      </c>
      <c r="B835" s="59" t="s">
        <v>161</v>
      </c>
      <c r="C835" s="59" t="s">
        <v>11723</v>
      </c>
      <c r="D835" s="59" t="s">
        <v>14377</v>
      </c>
      <c r="E835" s="59" t="s">
        <v>10961</v>
      </c>
      <c r="F835" s="59" t="s">
        <v>11094</v>
      </c>
      <c r="G835" s="5"/>
      <c r="H835" s="5"/>
      <c r="I835" s="5"/>
      <c r="J835" s="5"/>
    </row>
    <row r="836" spans="1:10" ht="14.1" customHeight="1" thickBot="1" x14ac:dyDescent="0.25">
      <c r="A836" s="61" t="s">
        <v>18876</v>
      </c>
      <c r="B836" s="61" t="s">
        <v>18877</v>
      </c>
      <c r="C836" s="61" t="s">
        <v>6798</v>
      </c>
      <c r="D836" s="61" t="s">
        <v>17483</v>
      </c>
      <c r="E836" s="61" t="s">
        <v>8854</v>
      </c>
      <c r="F836" s="61"/>
      <c r="G836" s="5"/>
      <c r="H836" s="5"/>
      <c r="I836" s="5"/>
      <c r="J836" s="5"/>
    </row>
    <row r="837" spans="1:10" ht="14.1" customHeight="1" thickBot="1" x14ac:dyDescent="0.25">
      <c r="A837" s="82" t="s">
        <v>14828</v>
      </c>
      <c r="B837" s="62" t="s">
        <v>8528</v>
      </c>
      <c r="C837" s="71">
        <v>44197</v>
      </c>
      <c r="D837" s="82" t="s">
        <v>9385</v>
      </c>
      <c r="E837" s="62" t="s">
        <v>13092</v>
      </c>
      <c r="F837" s="61" t="s">
        <v>3080</v>
      </c>
      <c r="G837" s="5"/>
      <c r="H837" s="5"/>
      <c r="I837" s="5"/>
      <c r="J837" s="5"/>
    </row>
    <row r="838" spans="1:10" ht="14.1" customHeight="1" thickBot="1" x14ac:dyDescent="0.25">
      <c r="A838" s="83"/>
      <c r="B838" s="62" t="s">
        <v>1786</v>
      </c>
      <c r="C838" s="60">
        <f>IF(C837="","",IF(AND(MONTH(C837)&gt;=1,MONTH(C837)&lt;=3),1,IF(AND(MONTH(C837)&gt;=4,MONTH(C837)&lt;=6),2,IF(AND(MONTH(C837)&gt;=7,MONTH(C837)&lt;=9),3,4))))</f>
        <v>1</v>
      </c>
      <c r="D838" s="83"/>
      <c r="E838" s="62" t="s">
        <v>2417</v>
      </c>
      <c r="F838" s="61" t="s">
        <v>11111</v>
      </c>
      <c r="G838" s="5"/>
      <c r="H838" s="5"/>
      <c r="I838" s="5"/>
      <c r="J838" s="5"/>
    </row>
    <row r="839" spans="1:10" ht="14.1" customHeight="1" thickBot="1" x14ac:dyDescent="0.25">
      <c r="A839" s="83"/>
      <c r="B839" s="62" t="s">
        <v>12941</v>
      </c>
      <c r="C839" s="71">
        <v>44211</v>
      </c>
      <c r="D839" s="83"/>
      <c r="E839" s="62" t="s">
        <v>3073</v>
      </c>
      <c r="F839" s="61" t="s">
        <v>11111</v>
      </c>
      <c r="G839" s="5"/>
      <c r="H839" s="5"/>
      <c r="I839" s="5"/>
      <c r="J839" s="5"/>
    </row>
    <row r="840" spans="1:10" ht="14.1" customHeight="1" thickBot="1" x14ac:dyDescent="0.25">
      <c r="A840" s="83"/>
      <c r="B840" s="62" t="s">
        <v>1786</v>
      </c>
      <c r="C840" s="60">
        <f>IF(C839="","",IF(AND(MONTH(C839)&gt;=1,MONTH(C839)&lt;=3),1,IF(AND(MONTH(C839)&gt;=4,MONTH(C839)&lt;=6),2,IF(AND(MONTH(C839)&gt;=7,MONTH(C839)&lt;=9),3,4))))</f>
        <v>1</v>
      </c>
      <c r="D840" s="83"/>
      <c r="E840" s="62" t="s">
        <v>13191</v>
      </c>
      <c r="F840" s="61" t="s">
        <v>11111</v>
      </c>
      <c r="G840" s="5"/>
      <c r="H840" s="5"/>
      <c r="I840" s="5"/>
      <c r="J840" s="5"/>
    </row>
    <row r="841" spans="1:10" ht="14.1" customHeight="1" thickBot="1" x14ac:dyDescent="0.25">
      <c r="A841" s="5"/>
      <c r="B841" s="5"/>
      <c r="C841" s="5"/>
      <c r="D841" s="5"/>
      <c r="E841" s="5"/>
      <c r="F841" s="5"/>
      <c r="G841" s="5"/>
      <c r="H841" s="5"/>
      <c r="I841" s="5"/>
      <c r="J841" s="5"/>
    </row>
    <row r="842" spans="1:10" ht="14.1" customHeight="1" thickBot="1" x14ac:dyDescent="0.25">
      <c r="A842" s="67" t="s">
        <v>15735</v>
      </c>
      <c r="B842" s="67" t="s">
        <v>16146</v>
      </c>
      <c r="C842" s="67" t="s">
        <v>15641</v>
      </c>
      <c r="D842" s="67" t="s">
        <v>15251</v>
      </c>
      <c r="E842" s="67" t="s">
        <v>6932</v>
      </c>
      <c r="F842" s="67" t="s">
        <v>15280</v>
      </c>
      <c r="G842" s="5"/>
      <c r="H842" s="5"/>
      <c r="I842" s="5"/>
      <c r="J842" s="5"/>
    </row>
    <row r="843" spans="1:10" ht="13.5" customHeight="1" x14ac:dyDescent="0.2">
      <c r="A843" s="77">
        <v>93131608</v>
      </c>
      <c r="B843" s="64" t="str">
        <f ca="1">IFERROR(INDEX(UNSPSCDes,MATCH(INDIRECT(ADDRESS(ROW(),COLUMN()-1,4)),UNSPSCCode,0)),"")</f>
        <v>Servicios de suministro de alimentos</v>
      </c>
      <c r="C843" s="63" t="s">
        <v>1449</v>
      </c>
      <c r="D843" s="63">
        <v>1</v>
      </c>
      <c r="E843" s="66">
        <v>200000</v>
      </c>
      <c r="F843" s="65">
        <f ca="1">INDIRECT(ADDRESS(ROW(),COLUMN()-2,4))*INDIRECT(ADDRESS(ROW(),COLUMN()-1,4))</f>
        <v>200000</v>
      </c>
      <c r="G843" s="5"/>
      <c r="H843" s="5"/>
      <c r="I843" s="5"/>
      <c r="J843" s="5"/>
    </row>
    <row r="844" spans="1:10" ht="14.1" customHeight="1" x14ac:dyDescent="0.2">
      <c r="A844" s="5"/>
      <c r="B844" s="5"/>
      <c r="C844" s="5"/>
      <c r="D844" s="5"/>
      <c r="E844" s="68" t="s">
        <v>12549</v>
      </c>
      <c r="F844" s="69">
        <f ca="1">SUM(Table376[MONTO TOTAL ESTIMADO])</f>
        <v>200000</v>
      </c>
      <c r="G844" s="5"/>
      <c r="H844" s="5" t="str">
        <f>C836</f>
        <v>Servicios</v>
      </c>
      <c r="I844" s="5" t="str">
        <f>E836</f>
        <v>Sí</v>
      </c>
      <c r="J844" s="5" t="str">
        <f>D836</f>
        <v>Compras Menores</v>
      </c>
    </row>
    <row r="845" spans="1:10" ht="14.1" customHeight="1" thickBot="1" x14ac:dyDescent="0.3"/>
    <row r="846" spans="1:10" ht="33.75" customHeight="1" thickBot="1" x14ac:dyDescent="0.25">
      <c r="A846" s="59" t="s">
        <v>16382</v>
      </c>
      <c r="B846" s="59" t="s">
        <v>161</v>
      </c>
      <c r="C846" s="59" t="s">
        <v>11723</v>
      </c>
      <c r="D846" s="59" t="s">
        <v>14377</v>
      </c>
      <c r="E846" s="59" t="s">
        <v>10961</v>
      </c>
      <c r="F846" s="59" t="s">
        <v>11094</v>
      </c>
      <c r="G846" s="5"/>
      <c r="H846" s="5"/>
      <c r="I846" s="5"/>
      <c r="J846" s="5"/>
    </row>
    <row r="847" spans="1:10" ht="14.1" customHeight="1" thickBot="1" x14ac:dyDescent="0.25">
      <c r="A847" s="61" t="s">
        <v>18876</v>
      </c>
      <c r="B847" s="61" t="s">
        <v>18877</v>
      </c>
      <c r="C847" s="61" t="s">
        <v>6798</v>
      </c>
      <c r="D847" s="61" t="s">
        <v>17483</v>
      </c>
      <c r="E847" s="61" t="s">
        <v>8854</v>
      </c>
      <c r="F847" s="61"/>
      <c r="G847" s="5"/>
      <c r="H847" s="5"/>
      <c r="I847" s="5"/>
      <c r="J847" s="5"/>
    </row>
    <row r="848" spans="1:10" ht="14.1" customHeight="1" thickBot="1" x14ac:dyDescent="0.25">
      <c r="A848" s="82" t="s">
        <v>14828</v>
      </c>
      <c r="B848" s="62" t="s">
        <v>8528</v>
      </c>
      <c r="C848" s="71">
        <v>44287</v>
      </c>
      <c r="D848" s="82" t="s">
        <v>9385</v>
      </c>
      <c r="E848" s="62" t="s">
        <v>13092</v>
      </c>
      <c r="F848" s="61" t="s">
        <v>3080</v>
      </c>
      <c r="G848" s="5"/>
      <c r="H848" s="5"/>
      <c r="I848" s="5"/>
      <c r="J848" s="5"/>
    </row>
    <row r="849" spans="1:10" ht="14.1" customHeight="1" thickBot="1" x14ac:dyDescent="0.25">
      <c r="A849" s="83"/>
      <c r="B849" s="62" t="s">
        <v>1786</v>
      </c>
      <c r="C849" s="60">
        <f>IF(C848="","",IF(AND(MONTH(C848)&gt;=1,MONTH(C848)&lt;=3),1,IF(AND(MONTH(C848)&gt;=4,MONTH(C848)&lt;=6),2,IF(AND(MONTH(C848)&gt;=7,MONTH(C848)&lt;=9),3,4))))</f>
        <v>2</v>
      </c>
      <c r="D849" s="83"/>
      <c r="E849" s="62" t="s">
        <v>2417</v>
      </c>
      <c r="F849" s="61" t="s">
        <v>11111</v>
      </c>
      <c r="G849" s="5"/>
      <c r="H849" s="5"/>
      <c r="I849" s="5"/>
      <c r="J849" s="5"/>
    </row>
    <row r="850" spans="1:10" ht="14.1" customHeight="1" thickBot="1" x14ac:dyDescent="0.25">
      <c r="A850" s="83"/>
      <c r="B850" s="62" t="s">
        <v>12941</v>
      </c>
      <c r="C850" s="71">
        <v>44301</v>
      </c>
      <c r="D850" s="83"/>
      <c r="E850" s="62" t="s">
        <v>3073</v>
      </c>
      <c r="F850" s="61" t="s">
        <v>11111</v>
      </c>
      <c r="G850" s="5"/>
      <c r="H850" s="5"/>
      <c r="I850" s="5"/>
      <c r="J850" s="5"/>
    </row>
    <row r="851" spans="1:10" ht="14.1" customHeight="1" thickBot="1" x14ac:dyDescent="0.25">
      <c r="A851" s="83"/>
      <c r="B851" s="62" t="s">
        <v>1786</v>
      </c>
      <c r="C851" s="60">
        <f>IF(C850="","",IF(AND(MONTH(C850)&gt;=1,MONTH(C850)&lt;=3),1,IF(AND(MONTH(C850)&gt;=4,MONTH(C850)&lt;=6),2,IF(AND(MONTH(C850)&gt;=7,MONTH(C850)&lt;=9),3,4))))</f>
        <v>2</v>
      </c>
      <c r="D851" s="83"/>
      <c r="E851" s="62" t="s">
        <v>13191</v>
      </c>
      <c r="F851" s="61" t="s">
        <v>11111</v>
      </c>
      <c r="G851" s="5"/>
      <c r="H851" s="5"/>
      <c r="I851" s="5"/>
      <c r="J851" s="5"/>
    </row>
    <row r="852" spans="1:10" ht="14.1" customHeight="1" thickBot="1" x14ac:dyDescent="0.25">
      <c r="A852" s="5"/>
      <c r="B852" s="5"/>
      <c r="C852" s="5"/>
      <c r="D852" s="5"/>
      <c r="E852" s="5"/>
      <c r="F852" s="5"/>
      <c r="G852" s="5"/>
      <c r="H852" s="5"/>
      <c r="I852" s="5"/>
      <c r="J852" s="5"/>
    </row>
    <row r="853" spans="1:10" ht="14.1" customHeight="1" thickBot="1" x14ac:dyDescent="0.25">
      <c r="A853" s="67" t="s">
        <v>15735</v>
      </c>
      <c r="B853" s="67" t="s">
        <v>16146</v>
      </c>
      <c r="C853" s="67" t="s">
        <v>15641</v>
      </c>
      <c r="D853" s="67" t="s">
        <v>15251</v>
      </c>
      <c r="E853" s="67" t="s">
        <v>6932</v>
      </c>
      <c r="F853" s="67" t="s">
        <v>15280</v>
      </c>
      <c r="G853" s="5"/>
      <c r="H853" s="5"/>
      <c r="I853" s="5"/>
      <c r="J853" s="5"/>
    </row>
    <row r="854" spans="1:10" ht="13.5" customHeight="1" x14ac:dyDescent="0.2">
      <c r="A854" s="77">
        <v>93131608</v>
      </c>
      <c r="B854" s="64" t="str">
        <f ca="1">IFERROR(INDEX(UNSPSCDes,MATCH(INDIRECT(ADDRESS(ROW(),COLUMN()-1,4)),UNSPSCCode,0)),"")</f>
        <v>Servicios de suministro de alimentos</v>
      </c>
      <c r="C854" s="63" t="s">
        <v>1449</v>
      </c>
      <c r="D854" s="63">
        <v>1</v>
      </c>
      <c r="E854" s="66">
        <v>200000</v>
      </c>
      <c r="F854" s="65">
        <f ca="1">INDIRECT(ADDRESS(ROW(),COLUMN()-2,4))*INDIRECT(ADDRESS(ROW(),COLUMN()-1,4))</f>
        <v>200000</v>
      </c>
      <c r="G854" s="5"/>
      <c r="H854" s="5"/>
      <c r="I854" s="5"/>
      <c r="J854" s="5"/>
    </row>
    <row r="855" spans="1:10" ht="14.1" customHeight="1" x14ac:dyDescent="0.2">
      <c r="A855" s="5"/>
      <c r="B855" s="5"/>
      <c r="C855" s="5"/>
      <c r="D855" s="5"/>
      <c r="E855" s="68" t="s">
        <v>12549</v>
      </c>
      <c r="F855" s="69">
        <f ca="1">SUM(Table377[MONTO TOTAL ESTIMADO])</f>
        <v>200000</v>
      </c>
      <c r="G855" s="5"/>
      <c r="H855" s="5" t="str">
        <f>C847</f>
        <v>Servicios</v>
      </c>
      <c r="I855" s="5" t="str">
        <f>E847</f>
        <v>Sí</v>
      </c>
      <c r="J855" s="5" t="str">
        <f>D847</f>
        <v>Compras Menores</v>
      </c>
    </row>
    <row r="856" spans="1:10" ht="14.1" customHeight="1" thickBot="1" x14ac:dyDescent="0.3"/>
    <row r="857" spans="1:10" ht="33.75" customHeight="1" thickBot="1" x14ac:dyDescent="0.25">
      <c r="A857" s="59" t="s">
        <v>16382</v>
      </c>
      <c r="B857" s="59" t="s">
        <v>161</v>
      </c>
      <c r="C857" s="59" t="s">
        <v>11723</v>
      </c>
      <c r="D857" s="59" t="s">
        <v>14377</v>
      </c>
      <c r="E857" s="59" t="s">
        <v>10961</v>
      </c>
      <c r="F857" s="59" t="s">
        <v>11094</v>
      </c>
      <c r="G857" s="5"/>
      <c r="H857" s="5"/>
      <c r="I857" s="5"/>
      <c r="J857" s="5"/>
    </row>
    <row r="858" spans="1:10" ht="14.1" customHeight="1" thickBot="1" x14ac:dyDescent="0.25">
      <c r="A858" s="61" t="s">
        <v>18876</v>
      </c>
      <c r="B858" s="61" t="s">
        <v>18877</v>
      </c>
      <c r="C858" s="61" t="s">
        <v>6798</v>
      </c>
      <c r="D858" s="61" t="s">
        <v>17483</v>
      </c>
      <c r="E858" s="61" t="s">
        <v>8854</v>
      </c>
      <c r="F858" s="61"/>
      <c r="G858" s="5"/>
      <c r="H858" s="5"/>
      <c r="I858" s="5"/>
      <c r="J858" s="5"/>
    </row>
    <row r="859" spans="1:10" ht="14.1" customHeight="1" thickBot="1" x14ac:dyDescent="0.25">
      <c r="A859" s="82" t="s">
        <v>14828</v>
      </c>
      <c r="B859" s="62" t="s">
        <v>8528</v>
      </c>
      <c r="C859" s="71">
        <v>44378</v>
      </c>
      <c r="D859" s="82" t="s">
        <v>9385</v>
      </c>
      <c r="E859" s="62" t="s">
        <v>13092</v>
      </c>
      <c r="F859" s="61" t="s">
        <v>3080</v>
      </c>
      <c r="G859" s="5"/>
      <c r="H859" s="5"/>
      <c r="I859" s="5"/>
      <c r="J859" s="5"/>
    </row>
    <row r="860" spans="1:10" ht="14.1" customHeight="1" thickBot="1" x14ac:dyDescent="0.25">
      <c r="A860" s="83"/>
      <c r="B860" s="62" t="s">
        <v>1786</v>
      </c>
      <c r="C860" s="60">
        <f>IF(C859="","",IF(AND(MONTH(C859)&gt;=1,MONTH(C859)&lt;=3),1,IF(AND(MONTH(C859)&gt;=4,MONTH(C859)&lt;=6),2,IF(AND(MONTH(C859)&gt;=7,MONTH(C859)&lt;=9),3,4))))</f>
        <v>3</v>
      </c>
      <c r="D860" s="83"/>
      <c r="E860" s="62" t="s">
        <v>2417</v>
      </c>
      <c r="F860" s="61" t="s">
        <v>11111</v>
      </c>
      <c r="G860" s="5"/>
      <c r="H860" s="5"/>
      <c r="I860" s="5"/>
      <c r="J860" s="5"/>
    </row>
    <row r="861" spans="1:10" ht="14.1" customHeight="1" thickBot="1" x14ac:dyDescent="0.25">
      <c r="A861" s="83"/>
      <c r="B861" s="62" t="s">
        <v>12941</v>
      </c>
      <c r="C861" s="71">
        <v>44392</v>
      </c>
      <c r="D861" s="83"/>
      <c r="E861" s="62" t="s">
        <v>3073</v>
      </c>
      <c r="F861" s="61" t="s">
        <v>11111</v>
      </c>
      <c r="G861" s="5"/>
      <c r="H861" s="5"/>
      <c r="I861" s="5"/>
      <c r="J861" s="5"/>
    </row>
    <row r="862" spans="1:10" ht="14.1" customHeight="1" thickBot="1" x14ac:dyDescent="0.25">
      <c r="A862" s="83"/>
      <c r="B862" s="62" t="s">
        <v>1786</v>
      </c>
      <c r="C862" s="60">
        <f>IF(C861="","",IF(AND(MONTH(C861)&gt;=1,MONTH(C861)&lt;=3),1,IF(AND(MONTH(C861)&gt;=4,MONTH(C861)&lt;=6),2,IF(AND(MONTH(C861)&gt;=7,MONTH(C861)&lt;=9),3,4))))</f>
        <v>3</v>
      </c>
      <c r="D862" s="83"/>
      <c r="E862" s="62" t="s">
        <v>13191</v>
      </c>
      <c r="F862" s="61" t="s">
        <v>11111</v>
      </c>
      <c r="G862" s="5"/>
      <c r="H862" s="5"/>
      <c r="I862" s="5"/>
      <c r="J862" s="5"/>
    </row>
    <row r="863" spans="1:10" ht="14.1" customHeight="1" thickBot="1" x14ac:dyDescent="0.25">
      <c r="A863" s="5"/>
      <c r="B863" s="5"/>
      <c r="C863" s="5"/>
      <c r="D863" s="5"/>
      <c r="E863" s="5"/>
      <c r="F863" s="5"/>
      <c r="G863" s="5"/>
      <c r="H863" s="5"/>
      <c r="I863" s="5"/>
      <c r="J863" s="5"/>
    </row>
    <row r="864" spans="1:10" ht="14.1" customHeight="1" thickBot="1" x14ac:dyDescent="0.25">
      <c r="A864" s="67" t="s">
        <v>15735</v>
      </c>
      <c r="B864" s="67" t="s">
        <v>16146</v>
      </c>
      <c r="C864" s="67" t="s">
        <v>15641</v>
      </c>
      <c r="D864" s="67" t="s">
        <v>15251</v>
      </c>
      <c r="E864" s="67" t="s">
        <v>6932</v>
      </c>
      <c r="F864" s="67" t="s">
        <v>15280</v>
      </c>
      <c r="G864" s="5"/>
      <c r="H864" s="5"/>
      <c r="I864" s="5"/>
      <c r="J864" s="5"/>
    </row>
    <row r="865" spans="1:10" ht="13.5" customHeight="1" x14ac:dyDescent="0.2">
      <c r="A865" s="77">
        <v>93131608</v>
      </c>
      <c r="B865" s="64" t="str">
        <f ca="1">IFERROR(INDEX(UNSPSCDes,MATCH(INDIRECT(ADDRESS(ROW(),COLUMN()-1,4)),UNSPSCCode,0)),"")</f>
        <v>Servicios de suministro de alimentos</v>
      </c>
      <c r="C865" s="63" t="s">
        <v>1449</v>
      </c>
      <c r="D865" s="63">
        <v>1</v>
      </c>
      <c r="E865" s="66">
        <v>200000</v>
      </c>
      <c r="F865" s="65">
        <f ca="1">INDIRECT(ADDRESS(ROW(),COLUMN()-2,4))*INDIRECT(ADDRESS(ROW(),COLUMN()-1,4))</f>
        <v>200000</v>
      </c>
      <c r="G865" s="5"/>
      <c r="H865" s="5"/>
      <c r="I865" s="5"/>
      <c r="J865" s="5"/>
    </row>
    <row r="866" spans="1:10" ht="14.1" customHeight="1" x14ac:dyDescent="0.2">
      <c r="A866" s="5"/>
      <c r="B866" s="5"/>
      <c r="C866" s="5"/>
      <c r="D866" s="5"/>
      <c r="E866" s="68" t="s">
        <v>12549</v>
      </c>
      <c r="F866" s="69">
        <f ca="1">SUM(Table378[MONTO TOTAL ESTIMADO])</f>
        <v>200000</v>
      </c>
      <c r="G866" s="5"/>
      <c r="H866" s="5" t="str">
        <f>C858</f>
        <v>Servicios</v>
      </c>
      <c r="I866" s="5" t="str">
        <f>E858</f>
        <v>Sí</v>
      </c>
      <c r="J866" s="5" t="str">
        <f>D858</f>
        <v>Compras Menores</v>
      </c>
    </row>
    <row r="867" spans="1:10" ht="14.1" customHeight="1" thickBot="1" x14ac:dyDescent="0.3"/>
    <row r="868" spans="1:10" ht="33.75" customHeight="1" thickBot="1" x14ac:dyDescent="0.25">
      <c r="A868" s="59" t="s">
        <v>16382</v>
      </c>
      <c r="B868" s="59" t="s">
        <v>161</v>
      </c>
      <c r="C868" s="59" t="s">
        <v>11723</v>
      </c>
      <c r="D868" s="59" t="s">
        <v>14377</v>
      </c>
      <c r="E868" s="59" t="s">
        <v>10961</v>
      </c>
      <c r="F868" s="59" t="s">
        <v>11094</v>
      </c>
      <c r="G868" s="5"/>
      <c r="H868" s="5"/>
      <c r="I868" s="5"/>
      <c r="J868" s="5"/>
    </row>
    <row r="869" spans="1:10" ht="14.1" customHeight="1" thickBot="1" x14ac:dyDescent="0.25">
      <c r="A869" s="61" t="s">
        <v>18876</v>
      </c>
      <c r="B869" s="61" t="s">
        <v>18877</v>
      </c>
      <c r="C869" s="61" t="s">
        <v>6798</v>
      </c>
      <c r="D869" s="61" t="s">
        <v>17483</v>
      </c>
      <c r="E869" s="61" t="s">
        <v>8854</v>
      </c>
      <c r="F869" s="61"/>
      <c r="G869" s="5"/>
      <c r="H869" s="5"/>
      <c r="I869" s="5"/>
      <c r="J869" s="5"/>
    </row>
    <row r="870" spans="1:10" ht="14.1" customHeight="1" thickBot="1" x14ac:dyDescent="0.25">
      <c r="A870" s="82" t="s">
        <v>14828</v>
      </c>
      <c r="B870" s="62" t="s">
        <v>8528</v>
      </c>
      <c r="C870" s="71">
        <v>44470</v>
      </c>
      <c r="D870" s="82" t="s">
        <v>9385</v>
      </c>
      <c r="E870" s="62" t="s">
        <v>13092</v>
      </c>
      <c r="F870" s="61" t="s">
        <v>3080</v>
      </c>
      <c r="G870" s="5"/>
      <c r="H870" s="5"/>
      <c r="I870" s="5"/>
      <c r="J870" s="5"/>
    </row>
    <row r="871" spans="1:10" ht="14.1" customHeight="1" thickBot="1" x14ac:dyDescent="0.25">
      <c r="A871" s="83"/>
      <c r="B871" s="62" t="s">
        <v>1786</v>
      </c>
      <c r="C871" s="60">
        <f>IF(C870="","",IF(AND(MONTH(C870)&gt;=1,MONTH(C870)&lt;=3),1,IF(AND(MONTH(C870)&gt;=4,MONTH(C870)&lt;=6),2,IF(AND(MONTH(C870)&gt;=7,MONTH(C870)&lt;=9),3,4))))</f>
        <v>4</v>
      </c>
      <c r="D871" s="83"/>
      <c r="E871" s="62" t="s">
        <v>2417</v>
      </c>
      <c r="F871" s="61" t="s">
        <v>11111</v>
      </c>
      <c r="G871" s="5"/>
      <c r="H871" s="5"/>
      <c r="I871" s="5"/>
      <c r="J871" s="5"/>
    </row>
    <row r="872" spans="1:10" ht="14.1" customHeight="1" thickBot="1" x14ac:dyDescent="0.25">
      <c r="A872" s="83"/>
      <c r="B872" s="62" t="s">
        <v>12941</v>
      </c>
      <c r="C872" s="71">
        <v>44484</v>
      </c>
      <c r="D872" s="83"/>
      <c r="E872" s="62" t="s">
        <v>3073</v>
      </c>
      <c r="F872" s="61" t="s">
        <v>11111</v>
      </c>
      <c r="G872" s="5"/>
      <c r="H872" s="5"/>
      <c r="I872" s="5"/>
      <c r="J872" s="5"/>
    </row>
    <row r="873" spans="1:10" ht="14.1" customHeight="1" thickBot="1" x14ac:dyDescent="0.25">
      <c r="A873" s="83"/>
      <c r="B873" s="62" t="s">
        <v>1786</v>
      </c>
      <c r="C873" s="60">
        <f>IF(C872="","",IF(AND(MONTH(C872)&gt;=1,MONTH(C872)&lt;=3),1,IF(AND(MONTH(C872)&gt;=4,MONTH(C872)&lt;=6),2,IF(AND(MONTH(C872)&gt;=7,MONTH(C872)&lt;=9),3,4))))</f>
        <v>4</v>
      </c>
      <c r="D873" s="83"/>
      <c r="E873" s="62" t="s">
        <v>13191</v>
      </c>
      <c r="F873" s="61" t="s">
        <v>11111</v>
      </c>
      <c r="G873" s="5"/>
      <c r="H873" s="5"/>
      <c r="I873" s="5"/>
      <c r="J873" s="5"/>
    </row>
    <row r="874" spans="1:10" ht="14.1" customHeight="1" thickBot="1" x14ac:dyDescent="0.25">
      <c r="A874" s="5"/>
      <c r="B874" s="5"/>
      <c r="C874" s="5"/>
      <c r="D874" s="5"/>
      <c r="E874" s="5"/>
      <c r="F874" s="5"/>
      <c r="G874" s="5"/>
      <c r="H874" s="5"/>
      <c r="I874" s="5"/>
      <c r="J874" s="5"/>
    </row>
    <row r="875" spans="1:10" ht="14.1" customHeight="1" thickBot="1" x14ac:dyDescent="0.25">
      <c r="A875" s="67" t="s">
        <v>15735</v>
      </c>
      <c r="B875" s="67" t="s">
        <v>16146</v>
      </c>
      <c r="C875" s="67" t="s">
        <v>15641</v>
      </c>
      <c r="D875" s="67" t="s">
        <v>15251</v>
      </c>
      <c r="E875" s="67" t="s">
        <v>6932</v>
      </c>
      <c r="F875" s="67" t="s">
        <v>15280</v>
      </c>
      <c r="G875" s="5"/>
      <c r="H875" s="5"/>
      <c r="I875" s="5"/>
      <c r="J875" s="5"/>
    </row>
    <row r="876" spans="1:10" ht="13.5" customHeight="1" x14ac:dyDescent="0.2">
      <c r="A876" s="77">
        <v>93131608</v>
      </c>
      <c r="B876" s="64" t="str">
        <f ca="1">IFERROR(INDEX(UNSPSCDes,MATCH(INDIRECT(ADDRESS(ROW(),COLUMN()-1,4)),UNSPSCCode,0)),"")</f>
        <v>Servicios de suministro de alimentos</v>
      </c>
      <c r="C876" s="63" t="s">
        <v>1449</v>
      </c>
      <c r="D876" s="63">
        <v>1</v>
      </c>
      <c r="E876" s="66">
        <v>200000</v>
      </c>
      <c r="F876" s="65">
        <f ca="1">INDIRECT(ADDRESS(ROW(),COLUMN()-2,4))*INDIRECT(ADDRESS(ROW(),COLUMN()-1,4))</f>
        <v>200000</v>
      </c>
      <c r="G876" s="5"/>
      <c r="H876" s="5"/>
      <c r="I876" s="5"/>
      <c r="J876" s="5"/>
    </row>
    <row r="877" spans="1:10" ht="14.1" customHeight="1" x14ac:dyDescent="0.2">
      <c r="A877" s="5"/>
      <c r="B877" s="5"/>
      <c r="C877" s="5"/>
      <c r="D877" s="5"/>
      <c r="E877" s="68" t="s">
        <v>12549</v>
      </c>
      <c r="F877" s="69">
        <f ca="1">SUM(Table379[MONTO TOTAL ESTIMADO])</f>
        <v>200000</v>
      </c>
      <c r="G877" s="5"/>
      <c r="H877" s="5" t="str">
        <f>C869</f>
        <v>Servicios</v>
      </c>
      <c r="I877" s="5" t="str">
        <f>E869</f>
        <v>Sí</v>
      </c>
      <c r="J877" s="5" t="str">
        <f>D869</f>
        <v>Compras Menores</v>
      </c>
    </row>
    <row r="878" spans="1:10" ht="14.1" customHeight="1" thickBot="1" x14ac:dyDescent="0.3"/>
    <row r="879" spans="1:10" ht="33.75" customHeight="1" thickBot="1" x14ac:dyDescent="0.25">
      <c r="A879" s="59" t="s">
        <v>16382</v>
      </c>
      <c r="B879" s="59" t="s">
        <v>161</v>
      </c>
      <c r="C879" s="59" t="s">
        <v>11723</v>
      </c>
      <c r="D879" s="59" t="s">
        <v>14377</v>
      </c>
      <c r="E879" s="59" t="s">
        <v>10961</v>
      </c>
      <c r="F879" s="59" t="s">
        <v>11094</v>
      </c>
      <c r="G879" s="5"/>
      <c r="H879" s="5"/>
      <c r="I879" s="5"/>
      <c r="J879" s="5"/>
    </row>
    <row r="880" spans="1:10" ht="14.1" customHeight="1" thickBot="1" x14ac:dyDescent="0.25">
      <c r="A880" s="61" t="s">
        <v>18878</v>
      </c>
      <c r="B880" s="61" t="s">
        <v>18879</v>
      </c>
      <c r="C880" s="61" t="s">
        <v>6798</v>
      </c>
      <c r="D880" s="61" t="s">
        <v>10170</v>
      </c>
      <c r="E880" s="61" t="s">
        <v>6033</v>
      </c>
      <c r="F880" s="61"/>
      <c r="G880" s="5"/>
      <c r="H880" s="5"/>
      <c r="I880" s="5"/>
      <c r="J880" s="5"/>
    </row>
    <row r="881" spans="1:10" ht="14.1" customHeight="1" thickBot="1" x14ac:dyDescent="0.25">
      <c r="A881" s="82" t="s">
        <v>14828</v>
      </c>
      <c r="B881" s="62" t="s">
        <v>8528</v>
      </c>
      <c r="C881" s="71">
        <v>44197</v>
      </c>
      <c r="D881" s="82" t="s">
        <v>9385</v>
      </c>
      <c r="E881" s="62" t="s">
        <v>13092</v>
      </c>
      <c r="F881" s="61" t="s">
        <v>3080</v>
      </c>
      <c r="G881" s="5"/>
      <c r="H881" s="5"/>
      <c r="I881" s="5"/>
      <c r="J881" s="5"/>
    </row>
    <row r="882" spans="1:10" ht="14.1" customHeight="1" thickBot="1" x14ac:dyDescent="0.25">
      <c r="A882" s="83"/>
      <c r="B882" s="62" t="s">
        <v>1786</v>
      </c>
      <c r="C882" s="60">
        <f>IF(C881="","",IF(AND(MONTH(C881)&gt;=1,MONTH(C881)&lt;=3),1,IF(AND(MONTH(C881)&gt;=4,MONTH(C881)&lt;=6),2,IF(AND(MONTH(C881)&gt;=7,MONTH(C881)&lt;=9),3,4))))</f>
        <v>1</v>
      </c>
      <c r="D882" s="83"/>
      <c r="E882" s="62" t="s">
        <v>2417</v>
      </c>
      <c r="F882" s="61" t="s">
        <v>11111</v>
      </c>
      <c r="G882" s="5"/>
      <c r="H882" s="5"/>
      <c r="I882" s="5"/>
      <c r="J882" s="5"/>
    </row>
    <row r="883" spans="1:10" ht="14.1" customHeight="1" thickBot="1" x14ac:dyDescent="0.25">
      <c r="A883" s="83"/>
      <c r="B883" s="62" t="s">
        <v>12941</v>
      </c>
      <c r="C883" s="71">
        <v>44198</v>
      </c>
      <c r="D883" s="83"/>
      <c r="E883" s="62" t="s">
        <v>3073</v>
      </c>
      <c r="F883" s="61" t="s">
        <v>11111</v>
      </c>
      <c r="G883" s="5"/>
      <c r="H883" s="5"/>
      <c r="I883" s="5"/>
      <c r="J883" s="5"/>
    </row>
    <row r="884" spans="1:10" ht="14.1" customHeight="1" thickBot="1" x14ac:dyDescent="0.25">
      <c r="A884" s="83"/>
      <c r="B884" s="62" t="s">
        <v>1786</v>
      </c>
      <c r="C884" s="60">
        <f>IF(C883="","",IF(AND(MONTH(C883)&gt;=1,MONTH(C883)&lt;=3),1,IF(AND(MONTH(C883)&gt;=4,MONTH(C883)&lt;=6),2,IF(AND(MONTH(C883)&gt;=7,MONTH(C883)&lt;=9),3,4))))</f>
        <v>1</v>
      </c>
      <c r="D884" s="83"/>
      <c r="E884" s="62" t="s">
        <v>13191</v>
      </c>
      <c r="F884" s="61" t="s">
        <v>11111</v>
      </c>
      <c r="G884" s="5"/>
      <c r="H884" s="5"/>
      <c r="I884" s="5"/>
      <c r="J884" s="5"/>
    </row>
    <row r="885" spans="1:10" ht="14.1" customHeight="1" thickBot="1" x14ac:dyDescent="0.25">
      <c r="A885" s="5"/>
      <c r="B885" s="5"/>
      <c r="C885" s="5"/>
      <c r="D885" s="5"/>
      <c r="E885" s="5"/>
      <c r="F885" s="5"/>
      <c r="G885" s="5"/>
      <c r="H885" s="5"/>
      <c r="I885" s="5"/>
      <c r="J885" s="5"/>
    </row>
    <row r="886" spans="1:10" ht="14.1" customHeight="1" thickBot="1" x14ac:dyDescent="0.25">
      <c r="A886" s="67" t="s">
        <v>15735</v>
      </c>
      <c r="B886" s="67" t="s">
        <v>16146</v>
      </c>
      <c r="C886" s="67" t="s">
        <v>15641</v>
      </c>
      <c r="D886" s="67" t="s">
        <v>15251</v>
      </c>
      <c r="E886" s="67" t="s">
        <v>6932</v>
      </c>
      <c r="F886" s="67" t="s">
        <v>15280</v>
      </c>
      <c r="G886" s="5"/>
      <c r="H886" s="5"/>
      <c r="I886" s="5"/>
      <c r="J886" s="5"/>
    </row>
    <row r="887" spans="1:10" ht="13.5" customHeight="1" x14ac:dyDescent="0.2">
      <c r="A887" s="63">
        <v>10161707</v>
      </c>
      <c r="B887" s="64" t="str">
        <f ca="1">IFERROR(INDEX(UNSPSCDes,MATCH(INDIRECT(ADDRESS(ROW(),COLUMN()-1,4)),UNSPSCCode,0)),"")</f>
        <v>Arreglo de flores cortadas</v>
      </c>
      <c r="C887" s="63" t="s">
        <v>1449</v>
      </c>
      <c r="D887" s="63">
        <v>1</v>
      </c>
      <c r="E887" s="66">
        <v>31250</v>
      </c>
      <c r="F887" s="65">
        <f ca="1">INDIRECT(ADDRESS(ROW(),COLUMN()-2,4))*INDIRECT(ADDRESS(ROW(),COLUMN()-1,4))</f>
        <v>31250</v>
      </c>
      <c r="G887" s="5"/>
      <c r="H887" s="5"/>
      <c r="I887" s="5"/>
      <c r="J887" s="5"/>
    </row>
    <row r="888" spans="1:10" ht="14.1" customHeight="1" x14ac:dyDescent="0.2">
      <c r="A888" s="5"/>
      <c r="B888" s="5"/>
      <c r="C888" s="5"/>
      <c r="D888" s="5"/>
      <c r="E888" s="68" t="s">
        <v>12549</v>
      </c>
      <c r="F888" s="69">
        <f ca="1">SUM(Table380[MONTO TOTAL ESTIMADO])</f>
        <v>31250</v>
      </c>
      <c r="G888" s="5"/>
      <c r="H888" s="5" t="str">
        <f>C880</f>
        <v>Servicios</v>
      </c>
      <c r="I888" s="5" t="str">
        <f>E880</f>
        <v>MIPYME Mujeres</v>
      </c>
      <c r="J888" s="5" t="str">
        <f>D880</f>
        <v>Compras por debajo del Umbral</v>
      </c>
    </row>
    <row r="889" spans="1:10" ht="14.1" customHeight="1" thickBot="1" x14ac:dyDescent="0.3"/>
    <row r="890" spans="1:10" ht="33.75" customHeight="1" thickBot="1" x14ac:dyDescent="0.25">
      <c r="A890" s="59" t="s">
        <v>16382</v>
      </c>
      <c r="B890" s="59" t="s">
        <v>161</v>
      </c>
      <c r="C890" s="59" t="s">
        <v>11723</v>
      </c>
      <c r="D890" s="59" t="s">
        <v>14377</v>
      </c>
      <c r="E890" s="59" t="s">
        <v>10961</v>
      </c>
      <c r="F890" s="59" t="s">
        <v>11094</v>
      </c>
      <c r="G890" s="5"/>
      <c r="H890" s="5"/>
      <c r="I890" s="5"/>
      <c r="J890" s="5"/>
    </row>
    <row r="891" spans="1:10" ht="14.1" customHeight="1" thickBot="1" x14ac:dyDescent="0.25">
      <c r="A891" s="61" t="s">
        <v>18878</v>
      </c>
      <c r="B891" s="61" t="s">
        <v>18879</v>
      </c>
      <c r="C891" s="61" t="s">
        <v>6798</v>
      </c>
      <c r="D891" s="61" t="s">
        <v>10170</v>
      </c>
      <c r="E891" s="61" t="s">
        <v>6033</v>
      </c>
      <c r="F891" s="61"/>
      <c r="G891" s="5"/>
      <c r="H891" s="5"/>
      <c r="I891" s="5"/>
      <c r="J891" s="5"/>
    </row>
    <row r="892" spans="1:10" ht="14.1" customHeight="1" thickBot="1" x14ac:dyDescent="0.25">
      <c r="A892" s="82" t="s">
        <v>14828</v>
      </c>
      <c r="B892" s="62" t="s">
        <v>8528</v>
      </c>
      <c r="C892" s="71">
        <v>44287</v>
      </c>
      <c r="D892" s="82" t="s">
        <v>9385</v>
      </c>
      <c r="E892" s="62" t="s">
        <v>13092</v>
      </c>
      <c r="F892" s="61" t="s">
        <v>3080</v>
      </c>
      <c r="G892" s="5"/>
      <c r="H892" s="5"/>
      <c r="I892" s="5"/>
      <c r="J892" s="5"/>
    </row>
    <row r="893" spans="1:10" ht="14.1" customHeight="1" thickBot="1" x14ac:dyDescent="0.25">
      <c r="A893" s="83"/>
      <c r="B893" s="62" t="s">
        <v>1786</v>
      </c>
      <c r="C893" s="60">
        <f>IF(C892="","",IF(AND(MONTH(C892)&gt;=1,MONTH(C892)&lt;=3),1,IF(AND(MONTH(C892)&gt;=4,MONTH(C892)&lt;=6),2,IF(AND(MONTH(C892)&gt;=7,MONTH(C892)&lt;=9),3,4))))</f>
        <v>2</v>
      </c>
      <c r="D893" s="83"/>
      <c r="E893" s="62" t="s">
        <v>2417</v>
      </c>
      <c r="F893" s="61" t="s">
        <v>11111</v>
      </c>
      <c r="G893" s="5"/>
      <c r="H893" s="5"/>
      <c r="I893" s="5"/>
      <c r="J893" s="5"/>
    </row>
    <row r="894" spans="1:10" ht="14.1" customHeight="1" thickBot="1" x14ac:dyDescent="0.25">
      <c r="A894" s="83"/>
      <c r="B894" s="62" t="s">
        <v>12941</v>
      </c>
      <c r="C894" s="71">
        <v>44288</v>
      </c>
      <c r="D894" s="83"/>
      <c r="E894" s="62" t="s">
        <v>3073</v>
      </c>
      <c r="F894" s="61" t="s">
        <v>11111</v>
      </c>
      <c r="G894" s="5"/>
      <c r="H894" s="5"/>
      <c r="I894" s="5"/>
      <c r="J894" s="5"/>
    </row>
    <row r="895" spans="1:10" ht="14.1" customHeight="1" thickBot="1" x14ac:dyDescent="0.25">
      <c r="A895" s="83"/>
      <c r="B895" s="62" t="s">
        <v>1786</v>
      </c>
      <c r="C895" s="60">
        <f>IF(C894="","",IF(AND(MONTH(C894)&gt;=1,MONTH(C894)&lt;=3),1,IF(AND(MONTH(C894)&gt;=4,MONTH(C894)&lt;=6),2,IF(AND(MONTH(C894)&gt;=7,MONTH(C894)&lt;=9),3,4))))</f>
        <v>2</v>
      </c>
      <c r="D895" s="83"/>
      <c r="E895" s="62" t="s">
        <v>13191</v>
      </c>
      <c r="F895" s="61" t="s">
        <v>11111</v>
      </c>
      <c r="G895" s="5"/>
      <c r="H895" s="5"/>
      <c r="I895" s="5"/>
      <c r="J895" s="5"/>
    </row>
    <row r="896" spans="1:10" ht="14.1" customHeight="1" thickBot="1" x14ac:dyDescent="0.25">
      <c r="A896" s="5"/>
      <c r="B896" s="5"/>
      <c r="C896" s="5"/>
      <c r="D896" s="5"/>
      <c r="E896" s="5"/>
      <c r="F896" s="5"/>
      <c r="G896" s="5"/>
      <c r="H896" s="5"/>
      <c r="I896" s="5"/>
      <c r="J896" s="5"/>
    </row>
    <row r="897" spans="1:10" ht="14.1" customHeight="1" thickBot="1" x14ac:dyDescent="0.25">
      <c r="A897" s="67" t="s">
        <v>15735</v>
      </c>
      <c r="B897" s="67" t="s">
        <v>16146</v>
      </c>
      <c r="C897" s="67" t="s">
        <v>15641</v>
      </c>
      <c r="D897" s="67" t="s">
        <v>15251</v>
      </c>
      <c r="E897" s="67" t="s">
        <v>6932</v>
      </c>
      <c r="F897" s="67" t="s">
        <v>15280</v>
      </c>
      <c r="G897" s="5"/>
      <c r="H897" s="5"/>
      <c r="I897" s="5"/>
      <c r="J897" s="5"/>
    </row>
    <row r="898" spans="1:10" ht="13.5" customHeight="1" x14ac:dyDescent="0.2">
      <c r="A898" s="63">
        <v>10161707</v>
      </c>
      <c r="B898" s="64" t="str">
        <f ca="1">IFERROR(INDEX(UNSPSCDes,MATCH(INDIRECT(ADDRESS(ROW(),COLUMN()-1,4)),UNSPSCCode,0)),"")</f>
        <v>Arreglo de flores cortadas</v>
      </c>
      <c r="C898" s="63" t="s">
        <v>1449</v>
      </c>
      <c r="D898" s="63">
        <v>1</v>
      </c>
      <c r="E898" s="66">
        <v>31250</v>
      </c>
      <c r="F898" s="65">
        <f ca="1">INDIRECT(ADDRESS(ROW(),COLUMN()-2,4))*INDIRECT(ADDRESS(ROW(),COLUMN()-1,4))</f>
        <v>31250</v>
      </c>
      <c r="G898" s="5"/>
      <c r="H898" s="5"/>
      <c r="I898" s="5"/>
      <c r="J898" s="5"/>
    </row>
    <row r="899" spans="1:10" ht="13.5" customHeight="1" x14ac:dyDescent="0.2">
      <c r="A899" s="63">
        <v>10161707</v>
      </c>
      <c r="B899" s="64" t="str">
        <f ca="1">IFERROR(INDEX(UNSPSCDes,MATCH(INDIRECT(ADDRESS(ROW(),COLUMN()-1,4)),UNSPSCCode,0)),"")</f>
        <v>Arreglo de flores cortadas</v>
      </c>
      <c r="C899" s="63" t="s">
        <v>1449</v>
      </c>
      <c r="D899" s="63">
        <v>1</v>
      </c>
      <c r="E899" s="66">
        <v>35400</v>
      </c>
      <c r="F899" s="65">
        <f ca="1">INDIRECT(ADDRESS(ROW(),COLUMN()-2,4))*INDIRECT(ADDRESS(ROW(),COLUMN()-1,4))</f>
        <v>35400</v>
      </c>
      <c r="G899" s="5"/>
      <c r="H899" s="5"/>
      <c r="I899" s="5"/>
      <c r="J899" s="5"/>
    </row>
    <row r="900" spans="1:10" ht="14.1" customHeight="1" x14ac:dyDescent="0.2">
      <c r="A900" s="5"/>
      <c r="B900" s="5"/>
      <c r="C900" s="5"/>
      <c r="D900" s="5"/>
      <c r="E900" s="68" t="s">
        <v>12549</v>
      </c>
      <c r="F900" s="69">
        <f ca="1">SUM(Table381[MONTO TOTAL ESTIMADO])</f>
        <v>66650</v>
      </c>
      <c r="G900" s="5"/>
      <c r="H900" s="5" t="str">
        <f>C891</f>
        <v>Servicios</v>
      </c>
      <c r="I900" s="5" t="str">
        <f>E891</f>
        <v>MIPYME Mujeres</v>
      </c>
      <c r="J900" s="5" t="str">
        <f>D891</f>
        <v>Compras por debajo del Umbral</v>
      </c>
    </row>
    <row r="901" spans="1:10" ht="14.1" customHeight="1" thickBot="1" x14ac:dyDescent="0.3"/>
    <row r="902" spans="1:10" ht="33.75" customHeight="1" thickBot="1" x14ac:dyDescent="0.25">
      <c r="A902" s="59" t="s">
        <v>16382</v>
      </c>
      <c r="B902" s="59" t="s">
        <v>161</v>
      </c>
      <c r="C902" s="59" t="s">
        <v>11723</v>
      </c>
      <c r="D902" s="59" t="s">
        <v>14377</v>
      </c>
      <c r="E902" s="59" t="s">
        <v>10961</v>
      </c>
      <c r="F902" s="59" t="s">
        <v>11094</v>
      </c>
      <c r="G902" s="5"/>
      <c r="H902" s="5"/>
      <c r="I902" s="5"/>
      <c r="J902" s="5"/>
    </row>
    <row r="903" spans="1:10" ht="14.1" customHeight="1" thickBot="1" x14ac:dyDescent="0.25">
      <c r="A903" s="61" t="s">
        <v>18878</v>
      </c>
      <c r="B903" s="61" t="s">
        <v>18879</v>
      </c>
      <c r="C903" s="61" t="s">
        <v>6798</v>
      </c>
      <c r="D903" s="61" t="s">
        <v>10170</v>
      </c>
      <c r="E903" s="61" t="s">
        <v>6033</v>
      </c>
      <c r="F903" s="61"/>
      <c r="G903" s="5"/>
      <c r="H903" s="5"/>
      <c r="I903" s="5"/>
      <c r="J903" s="5"/>
    </row>
    <row r="904" spans="1:10" ht="14.1" customHeight="1" thickBot="1" x14ac:dyDescent="0.25">
      <c r="A904" s="82" t="s">
        <v>14828</v>
      </c>
      <c r="B904" s="62" t="s">
        <v>8528</v>
      </c>
      <c r="C904" s="71">
        <v>44378</v>
      </c>
      <c r="D904" s="82" t="s">
        <v>9385</v>
      </c>
      <c r="E904" s="62" t="s">
        <v>13092</v>
      </c>
      <c r="F904" s="61" t="s">
        <v>3080</v>
      </c>
      <c r="G904" s="5"/>
      <c r="H904" s="5"/>
      <c r="I904" s="5"/>
      <c r="J904" s="5"/>
    </row>
    <row r="905" spans="1:10" ht="14.1" customHeight="1" thickBot="1" x14ac:dyDescent="0.25">
      <c r="A905" s="83"/>
      <c r="B905" s="62" t="s">
        <v>1786</v>
      </c>
      <c r="C905" s="60">
        <f>IF(C904="","",IF(AND(MONTH(C904)&gt;=1,MONTH(C904)&lt;=3),1,IF(AND(MONTH(C904)&gt;=4,MONTH(C904)&lt;=6),2,IF(AND(MONTH(C904)&gt;=7,MONTH(C904)&lt;=9),3,4))))</f>
        <v>3</v>
      </c>
      <c r="D905" s="83"/>
      <c r="E905" s="62" t="s">
        <v>2417</v>
      </c>
      <c r="F905" s="61" t="s">
        <v>11111</v>
      </c>
      <c r="G905" s="5"/>
      <c r="H905" s="5"/>
      <c r="I905" s="5"/>
      <c r="J905" s="5"/>
    </row>
    <row r="906" spans="1:10" ht="14.1" customHeight="1" thickBot="1" x14ac:dyDescent="0.25">
      <c r="A906" s="83"/>
      <c r="B906" s="62" t="s">
        <v>12941</v>
      </c>
      <c r="C906" s="71">
        <v>44379</v>
      </c>
      <c r="D906" s="83"/>
      <c r="E906" s="62" t="s">
        <v>3073</v>
      </c>
      <c r="F906" s="61" t="s">
        <v>11111</v>
      </c>
      <c r="G906" s="5"/>
      <c r="H906" s="5"/>
      <c r="I906" s="5"/>
      <c r="J906" s="5"/>
    </row>
    <row r="907" spans="1:10" ht="14.1" customHeight="1" thickBot="1" x14ac:dyDescent="0.25">
      <c r="A907" s="83"/>
      <c r="B907" s="62" t="s">
        <v>1786</v>
      </c>
      <c r="C907" s="60">
        <f>IF(C906="","",IF(AND(MONTH(C906)&gt;=1,MONTH(C906)&lt;=3),1,IF(AND(MONTH(C906)&gt;=4,MONTH(C906)&lt;=6),2,IF(AND(MONTH(C906)&gt;=7,MONTH(C906)&lt;=9),3,4))))</f>
        <v>3</v>
      </c>
      <c r="D907" s="83"/>
      <c r="E907" s="62" t="s">
        <v>13191</v>
      </c>
      <c r="F907" s="61" t="s">
        <v>11111</v>
      </c>
      <c r="G907" s="5"/>
      <c r="H907" s="5"/>
      <c r="I907" s="5"/>
      <c r="J907" s="5"/>
    </row>
    <row r="908" spans="1:10" ht="14.1" customHeight="1" thickBot="1" x14ac:dyDescent="0.25">
      <c r="A908" s="5"/>
      <c r="B908" s="5"/>
      <c r="C908" s="5"/>
      <c r="D908" s="5"/>
      <c r="E908" s="5"/>
      <c r="F908" s="5"/>
      <c r="G908" s="5"/>
      <c r="H908" s="5"/>
      <c r="I908" s="5"/>
      <c r="J908" s="5"/>
    </row>
    <row r="909" spans="1:10" ht="14.1" customHeight="1" thickBot="1" x14ac:dyDescent="0.25">
      <c r="A909" s="67" t="s">
        <v>15735</v>
      </c>
      <c r="B909" s="67" t="s">
        <v>16146</v>
      </c>
      <c r="C909" s="67" t="s">
        <v>15641</v>
      </c>
      <c r="D909" s="67" t="s">
        <v>15251</v>
      </c>
      <c r="E909" s="67" t="s">
        <v>6932</v>
      </c>
      <c r="F909" s="67" t="s">
        <v>15280</v>
      </c>
      <c r="G909" s="5"/>
      <c r="H909" s="5"/>
      <c r="I909" s="5"/>
      <c r="J909" s="5"/>
    </row>
    <row r="910" spans="1:10" ht="13.5" customHeight="1" x14ac:dyDescent="0.2">
      <c r="A910" s="63">
        <v>10161707</v>
      </c>
      <c r="B910" s="64" t="str">
        <f ca="1">IFERROR(INDEX(UNSPSCDes,MATCH(INDIRECT(ADDRESS(ROW(),COLUMN()-1,4)),UNSPSCCode,0)),"")</f>
        <v>Arreglo de flores cortadas</v>
      </c>
      <c r="C910" s="63" t="s">
        <v>1449</v>
      </c>
      <c r="D910" s="63">
        <v>1</v>
      </c>
      <c r="E910" s="66">
        <v>31250</v>
      </c>
      <c r="F910" s="65">
        <f ca="1">INDIRECT(ADDRESS(ROW(),COLUMN()-2,4))*INDIRECT(ADDRESS(ROW(),COLUMN()-1,4))</f>
        <v>31250</v>
      </c>
      <c r="G910" s="5"/>
      <c r="H910" s="5"/>
      <c r="I910" s="5"/>
      <c r="J910" s="5"/>
    </row>
    <row r="911" spans="1:10" ht="13.5" customHeight="1" x14ac:dyDescent="0.2">
      <c r="A911" s="63">
        <v>10161707</v>
      </c>
      <c r="B911" s="64" t="str">
        <f ca="1">IFERROR(INDEX(UNSPSCDes,MATCH(INDIRECT(ADDRESS(ROW(),COLUMN()-1,4)),UNSPSCCode,0)),"")</f>
        <v>Arreglo de flores cortadas</v>
      </c>
      <c r="C911" s="63" t="s">
        <v>1449</v>
      </c>
      <c r="D911" s="63">
        <v>1</v>
      </c>
      <c r="E911" s="66">
        <v>35400</v>
      </c>
      <c r="F911" s="65">
        <f ca="1">INDIRECT(ADDRESS(ROW(),COLUMN()-2,4))*INDIRECT(ADDRESS(ROW(),COLUMN()-1,4))</f>
        <v>35400</v>
      </c>
      <c r="G911" s="5"/>
      <c r="H911" s="5"/>
      <c r="I911" s="5"/>
      <c r="J911" s="5"/>
    </row>
    <row r="912" spans="1:10" ht="14.1" customHeight="1" x14ac:dyDescent="0.2">
      <c r="A912" s="5"/>
      <c r="B912" s="5"/>
      <c r="C912" s="5"/>
      <c r="D912" s="5"/>
      <c r="E912" s="68" t="s">
        <v>12549</v>
      </c>
      <c r="F912" s="69">
        <f ca="1">SUM(Table382[MONTO TOTAL ESTIMADO])</f>
        <v>66650</v>
      </c>
      <c r="G912" s="5"/>
      <c r="H912" s="5" t="str">
        <f>C903</f>
        <v>Servicios</v>
      </c>
      <c r="I912" s="5" t="str">
        <f>E903</f>
        <v>MIPYME Mujeres</v>
      </c>
      <c r="J912" s="5" t="str">
        <f>D903</f>
        <v>Compras por debajo del Umbral</v>
      </c>
    </row>
    <row r="913" spans="1:10" ht="14.1" customHeight="1" thickBot="1" x14ac:dyDescent="0.3"/>
    <row r="914" spans="1:10" ht="33.75" customHeight="1" thickBot="1" x14ac:dyDescent="0.25">
      <c r="A914" s="59" t="s">
        <v>16382</v>
      </c>
      <c r="B914" s="59" t="s">
        <v>161</v>
      </c>
      <c r="C914" s="59" t="s">
        <v>11723</v>
      </c>
      <c r="D914" s="59" t="s">
        <v>14377</v>
      </c>
      <c r="E914" s="59" t="s">
        <v>10961</v>
      </c>
      <c r="F914" s="59" t="s">
        <v>11094</v>
      </c>
      <c r="G914" s="5"/>
      <c r="H914" s="5"/>
      <c r="I914" s="5"/>
      <c r="J914" s="5"/>
    </row>
    <row r="915" spans="1:10" ht="14.1" customHeight="1" thickBot="1" x14ac:dyDescent="0.25">
      <c r="A915" s="61" t="s">
        <v>18878</v>
      </c>
      <c r="B915" s="61" t="s">
        <v>18879</v>
      </c>
      <c r="C915" s="61" t="s">
        <v>6798</v>
      </c>
      <c r="D915" s="61" t="s">
        <v>10170</v>
      </c>
      <c r="E915" s="61" t="s">
        <v>6033</v>
      </c>
      <c r="F915" s="61"/>
      <c r="G915" s="5"/>
      <c r="H915" s="5"/>
      <c r="I915" s="5"/>
      <c r="J915" s="5"/>
    </row>
    <row r="916" spans="1:10" ht="14.1" customHeight="1" thickBot="1" x14ac:dyDescent="0.25">
      <c r="A916" s="82" t="s">
        <v>14828</v>
      </c>
      <c r="B916" s="62" t="s">
        <v>8528</v>
      </c>
      <c r="C916" s="71">
        <v>44470</v>
      </c>
      <c r="D916" s="82" t="s">
        <v>9385</v>
      </c>
      <c r="E916" s="62" t="s">
        <v>13092</v>
      </c>
      <c r="F916" s="61" t="s">
        <v>3080</v>
      </c>
      <c r="G916" s="5"/>
      <c r="H916" s="5"/>
      <c r="I916" s="5"/>
      <c r="J916" s="5"/>
    </row>
    <row r="917" spans="1:10" ht="14.1" customHeight="1" thickBot="1" x14ac:dyDescent="0.25">
      <c r="A917" s="83"/>
      <c r="B917" s="62" t="s">
        <v>1786</v>
      </c>
      <c r="C917" s="60">
        <f>IF(C916="","",IF(AND(MONTH(C916)&gt;=1,MONTH(C916)&lt;=3),1,IF(AND(MONTH(C916)&gt;=4,MONTH(C916)&lt;=6),2,IF(AND(MONTH(C916)&gt;=7,MONTH(C916)&lt;=9),3,4))))</f>
        <v>4</v>
      </c>
      <c r="D917" s="83"/>
      <c r="E917" s="62" t="s">
        <v>2417</v>
      </c>
      <c r="F917" s="61" t="s">
        <v>11111</v>
      </c>
      <c r="G917" s="5"/>
      <c r="H917" s="5"/>
      <c r="I917" s="5"/>
      <c r="J917" s="5"/>
    </row>
    <row r="918" spans="1:10" ht="14.1" customHeight="1" thickBot="1" x14ac:dyDescent="0.25">
      <c r="A918" s="83"/>
      <c r="B918" s="62" t="s">
        <v>12941</v>
      </c>
      <c r="C918" s="71">
        <v>44473</v>
      </c>
      <c r="D918" s="83"/>
      <c r="E918" s="62" t="s">
        <v>3073</v>
      </c>
      <c r="F918" s="61" t="s">
        <v>11111</v>
      </c>
      <c r="G918" s="5"/>
      <c r="H918" s="5"/>
      <c r="I918" s="5"/>
      <c r="J918" s="5"/>
    </row>
    <row r="919" spans="1:10" ht="14.1" customHeight="1" thickBot="1" x14ac:dyDescent="0.25">
      <c r="A919" s="83"/>
      <c r="B919" s="62" t="s">
        <v>1786</v>
      </c>
      <c r="C919" s="60">
        <f>IF(C918="","",IF(AND(MONTH(C918)&gt;=1,MONTH(C918)&lt;=3),1,IF(AND(MONTH(C918)&gt;=4,MONTH(C918)&lt;=6),2,IF(AND(MONTH(C918)&gt;=7,MONTH(C918)&lt;=9),3,4))))</f>
        <v>4</v>
      </c>
      <c r="D919" s="83"/>
      <c r="E919" s="62" t="s">
        <v>13191</v>
      </c>
      <c r="F919" s="61" t="s">
        <v>11111</v>
      </c>
      <c r="G919" s="5"/>
      <c r="H919" s="5"/>
      <c r="I919" s="5"/>
      <c r="J919" s="5"/>
    </row>
    <row r="920" spans="1:10" ht="14.1" customHeight="1" thickBot="1" x14ac:dyDescent="0.25">
      <c r="A920" s="5"/>
      <c r="B920" s="5"/>
      <c r="C920" s="5"/>
      <c r="D920" s="5"/>
      <c r="E920" s="5"/>
      <c r="F920" s="5"/>
      <c r="G920" s="5"/>
      <c r="H920" s="5"/>
      <c r="I920" s="5"/>
      <c r="J920" s="5"/>
    </row>
    <row r="921" spans="1:10" ht="14.1" customHeight="1" thickBot="1" x14ac:dyDescent="0.25">
      <c r="A921" s="67" t="s">
        <v>15735</v>
      </c>
      <c r="B921" s="67" t="s">
        <v>16146</v>
      </c>
      <c r="C921" s="67" t="s">
        <v>15641</v>
      </c>
      <c r="D921" s="67" t="s">
        <v>15251</v>
      </c>
      <c r="E921" s="67" t="s">
        <v>6932</v>
      </c>
      <c r="F921" s="67" t="s">
        <v>15280</v>
      </c>
      <c r="G921" s="5"/>
      <c r="H921" s="5"/>
      <c r="I921" s="5"/>
      <c r="J921" s="5"/>
    </row>
    <row r="922" spans="1:10" ht="13.5" customHeight="1" x14ac:dyDescent="0.2">
      <c r="A922" s="63">
        <v>10161707</v>
      </c>
      <c r="B922" s="64" t="str">
        <f ca="1">IFERROR(INDEX(UNSPSCDes,MATCH(INDIRECT(ADDRESS(ROW(),COLUMN()-1,4)),UNSPSCCode,0)),"")</f>
        <v>Arreglo de flores cortadas</v>
      </c>
      <c r="C922" s="63" t="s">
        <v>1449</v>
      </c>
      <c r="D922" s="63">
        <v>1</v>
      </c>
      <c r="E922" s="66">
        <v>31250</v>
      </c>
      <c r="F922" s="65">
        <f ca="1">INDIRECT(ADDRESS(ROW(),COLUMN()-2,4))*INDIRECT(ADDRESS(ROW(),COLUMN()-1,4))</f>
        <v>31250</v>
      </c>
      <c r="G922" s="5"/>
      <c r="H922" s="5"/>
      <c r="I922" s="5"/>
      <c r="J922" s="5"/>
    </row>
    <row r="923" spans="1:10" ht="14.1" customHeight="1" x14ac:dyDescent="0.2">
      <c r="A923" s="5"/>
      <c r="B923" s="5"/>
      <c r="C923" s="5"/>
      <c r="D923" s="5"/>
      <c r="E923" s="68" t="s">
        <v>12549</v>
      </c>
      <c r="F923" s="69">
        <f ca="1">SUM(Table383[MONTO TOTAL ESTIMADO])</f>
        <v>31250</v>
      </c>
      <c r="G923" s="5"/>
      <c r="H923" s="5" t="str">
        <f>C915</f>
        <v>Servicios</v>
      </c>
      <c r="I923" s="5" t="str">
        <f>E915</f>
        <v>MIPYME Mujeres</v>
      </c>
      <c r="J923" s="5" t="str">
        <f>D915</f>
        <v>Compras por debajo del Umbral</v>
      </c>
    </row>
    <row r="924" spans="1:10" ht="14.1" customHeight="1" thickBot="1" x14ac:dyDescent="0.3"/>
    <row r="925" spans="1:10" ht="33.75" customHeight="1" thickBot="1" x14ac:dyDescent="0.25">
      <c r="A925" s="59" t="s">
        <v>16382</v>
      </c>
      <c r="B925" s="59" t="s">
        <v>161</v>
      </c>
      <c r="C925" s="59" t="s">
        <v>11723</v>
      </c>
      <c r="D925" s="59" t="s">
        <v>14377</v>
      </c>
      <c r="E925" s="59" t="s">
        <v>10961</v>
      </c>
      <c r="F925" s="59" t="s">
        <v>11094</v>
      </c>
      <c r="G925" s="5"/>
      <c r="H925" s="5"/>
      <c r="I925" s="5"/>
      <c r="J925" s="5"/>
    </row>
    <row r="926" spans="1:10" ht="13.5" customHeight="1" thickBot="1" x14ac:dyDescent="0.25">
      <c r="A926" s="61" t="s">
        <v>18880</v>
      </c>
      <c r="B926" s="61" t="s">
        <v>18881</v>
      </c>
      <c r="C926" s="61" t="s">
        <v>6798</v>
      </c>
      <c r="D926" s="61" t="s">
        <v>17483</v>
      </c>
      <c r="E926" s="61" t="s">
        <v>8854</v>
      </c>
      <c r="F926" s="61"/>
      <c r="G926" s="5"/>
      <c r="H926" s="5"/>
      <c r="I926" s="5"/>
      <c r="J926" s="5"/>
    </row>
    <row r="927" spans="1:10" ht="14.1" customHeight="1" thickBot="1" x14ac:dyDescent="0.25">
      <c r="A927" s="82" t="s">
        <v>14828</v>
      </c>
      <c r="B927" s="62" t="s">
        <v>8528</v>
      </c>
      <c r="C927" s="71">
        <v>44197</v>
      </c>
      <c r="D927" s="82" t="s">
        <v>9385</v>
      </c>
      <c r="E927" s="62" t="s">
        <v>13092</v>
      </c>
      <c r="F927" s="61" t="s">
        <v>3080</v>
      </c>
      <c r="G927" s="5"/>
      <c r="H927" s="5"/>
      <c r="I927" s="5"/>
      <c r="J927" s="5"/>
    </row>
    <row r="928" spans="1:10" ht="14.1" customHeight="1" thickBot="1" x14ac:dyDescent="0.25">
      <c r="A928" s="83"/>
      <c r="B928" s="62" t="s">
        <v>1786</v>
      </c>
      <c r="C928" s="60">
        <f>IF(C927="","",IF(AND(MONTH(C927)&gt;=1,MONTH(C927)&lt;=3),1,IF(AND(MONTH(C927)&gt;=4,MONTH(C927)&lt;=6),2,IF(AND(MONTH(C927)&gt;=7,MONTH(C927)&lt;=9),3,4))))</f>
        <v>1</v>
      </c>
      <c r="D928" s="83"/>
      <c r="E928" s="62" t="s">
        <v>2417</v>
      </c>
      <c r="F928" s="61" t="s">
        <v>11111</v>
      </c>
      <c r="G928" s="5"/>
      <c r="H928" s="5"/>
      <c r="I928" s="5"/>
      <c r="J928" s="5"/>
    </row>
    <row r="929" spans="1:10" ht="14.1" customHeight="1" thickBot="1" x14ac:dyDescent="0.25">
      <c r="A929" s="83"/>
      <c r="B929" s="62" t="s">
        <v>12941</v>
      </c>
      <c r="C929" s="71">
        <v>44211</v>
      </c>
      <c r="D929" s="83"/>
      <c r="E929" s="62" t="s">
        <v>3073</v>
      </c>
      <c r="F929" s="61" t="s">
        <v>11111</v>
      </c>
      <c r="G929" s="5"/>
      <c r="H929" s="5"/>
      <c r="I929" s="5"/>
      <c r="J929" s="5"/>
    </row>
    <row r="930" spans="1:10" ht="14.1" customHeight="1" thickBot="1" x14ac:dyDescent="0.25">
      <c r="A930" s="83"/>
      <c r="B930" s="62" t="s">
        <v>1786</v>
      </c>
      <c r="C930" s="60">
        <f>IF(C929="","",IF(AND(MONTH(C929)&gt;=1,MONTH(C929)&lt;=3),1,IF(AND(MONTH(C929)&gt;=4,MONTH(C929)&lt;=6),2,IF(AND(MONTH(C929)&gt;=7,MONTH(C929)&lt;=9),3,4))))</f>
        <v>1</v>
      </c>
      <c r="D930" s="83"/>
      <c r="E930" s="62" t="s">
        <v>13191</v>
      </c>
      <c r="F930" s="61" t="s">
        <v>11111</v>
      </c>
      <c r="G930" s="5"/>
      <c r="H930" s="5"/>
      <c r="I930" s="5"/>
      <c r="J930" s="5"/>
    </row>
    <row r="931" spans="1:10" ht="14.1" customHeight="1" thickBot="1" x14ac:dyDescent="0.25">
      <c r="A931" s="5"/>
      <c r="B931" s="5"/>
      <c r="C931" s="5"/>
      <c r="D931" s="5"/>
      <c r="E931" s="5"/>
      <c r="F931" s="5"/>
      <c r="G931" s="5"/>
      <c r="H931" s="5"/>
      <c r="I931" s="5"/>
      <c r="J931" s="5"/>
    </row>
    <row r="932" spans="1:10" ht="14.1" customHeight="1" thickBot="1" x14ac:dyDescent="0.25">
      <c r="A932" s="67" t="s">
        <v>15735</v>
      </c>
      <c r="B932" s="67" t="s">
        <v>16146</v>
      </c>
      <c r="C932" s="67" t="s">
        <v>15641</v>
      </c>
      <c r="D932" s="67" t="s">
        <v>15251</v>
      </c>
      <c r="E932" s="67" t="s">
        <v>6932</v>
      </c>
      <c r="F932" s="67" t="s">
        <v>15280</v>
      </c>
      <c r="G932" s="5"/>
      <c r="H932" s="5"/>
      <c r="I932" s="5"/>
      <c r="J932" s="5"/>
    </row>
    <row r="933" spans="1:10" ht="13.5" customHeight="1" x14ac:dyDescent="0.2">
      <c r="A933" s="77">
        <v>53102710</v>
      </c>
      <c r="B933" s="64" t="str">
        <f ca="1">IFERROR(INDEX(UNSPSCDes,MATCH(INDIRECT(ADDRESS(ROW(),COLUMN()-1,4)),UNSPSCCode,0)),"")</f>
        <v>Uniformes corporativos</v>
      </c>
      <c r="C933" s="63" t="s">
        <v>1449</v>
      </c>
      <c r="D933" s="63">
        <v>1</v>
      </c>
      <c r="E933" s="66">
        <v>300000</v>
      </c>
      <c r="F933" s="65">
        <f ca="1">INDIRECT(ADDRESS(ROW(),COLUMN()-2,4))*INDIRECT(ADDRESS(ROW(),COLUMN()-1,4))</f>
        <v>300000</v>
      </c>
      <c r="G933" s="5"/>
      <c r="H933" s="5"/>
      <c r="I933" s="5"/>
      <c r="J933" s="5"/>
    </row>
    <row r="934" spans="1:10" ht="14.1" customHeight="1" x14ac:dyDescent="0.2">
      <c r="A934" s="5"/>
      <c r="B934" s="5"/>
      <c r="C934" s="5"/>
      <c r="D934" s="5"/>
      <c r="E934" s="68" t="s">
        <v>12549</v>
      </c>
      <c r="F934" s="69">
        <f ca="1">SUM(Table384[MONTO TOTAL ESTIMADO])</f>
        <v>300000</v>
      </c>
      <c r="G934" s="5"/>
      <c r="H934" s="5" t="str">
        <f>C926</f>
        <v>Servicios</v>
      </c>
      <c r="I934" s="5" t="str">
        <f>E926</f>
        <v>Sí</v>
      </c>
      <c r="J934" s="5" t="str">
        <f>D926</f>
        <v>Compras Menores</v>
      </c>
    </row>
    <row r="935" spans="1:10" ht="14.1" customHeight="1" thickBot="1" x14ac:dyDescent="0.3"/>
    <row r="936" spans="1:10" ht="33.75" customHeight="1" thickBot="1" x14ac:dyDescent="0.25">
      <c r="A936" s="59" t="s">
        <v>16382</v>
      </c>
      <c r="B936" s="59" t="s">
        <v>161</v>
      </c>
      <c r="C936" s="59" t="s">
        <v>11723</v>
      </c>
      <c r="D936" s="59" t="s">
        <v>14377</v>
      </c>
      <c r="E936" s="59" t="s">
        <v>10961</v>
      </c>
      <c r="F936" s="59" t="s">
        <v>11094</v>
      </c>
      <c r="G936" s="5"/>
      <c r="H936" s="5"/>
      <c r="I936" s="5"/>
      <c r="J936" s="5"/>
    </row>
    <row r="937" spans="1:10" ht="13.5" customHeight="1" thickBot="1" x14ac:dyDescent="0.25">
      <c r="A937" s="61" t="s">
        <v>18880</v>
      </c>
      <c r="B937" s="61" t="s">
        <v>18881</v>
      </c>
      <c r="C937" s="61" t="s">
        <v>6798</v>
      </c>
      <c r="D937" s="61" t="s">
        <v>17483</v>
      </c>
      <c r="E937" s="61" t="s">
        <v>8854</v>
      </c>
      <c r="F937" s="61"/>
      <c r="G937" s="5"/>
      <c r="H937" s="5"/>
      <c r="I937" s="5"/>
      <c r="J937" s="5"/>
    </row>
    <row r="938" spans="1:10" ht="14.1" customHeight="1" thickBot="1" x14ac:dyDescent="0.25">
      <c r="A938" s="82" t="s">
        <v>14828</v>
      </c>
      <c r="B938" s="62" t="s">
        <v>8528</v>
      </c>
      <c r="C938" s="71">
        <v>44378</v>
      </c>
      <c r="D938" s="82" t="s">
        <v>9385</v>
      </c>
      <c r="E938" s="62" t="s">
        <v>13092</v>
      </c>
      <c r="F938" s="61" t="s">
        <v>3080</v>
      </c>
      <c r="G938" s="5"/>
      <c r="H938" s="5"/>
      <c r="I938" s="5"/>
      <c r="J938" s="5"/>
    </row>
    <row r="939" spans="1:10" ht="14.1" customHeight="1" thickBot="1" x14ac:dyDescent="0.25">
      <c r="A939" s="83"/>
      <c r="B939" s="62" t="s">
        <v>1786</v>
      </c>
      <c r="C939" s="60">
        <f>IF(C938="","",IF(AND(MONTH(C938)&gt;=1,MONTH(C938)&lt;=3),1,IF(AND(MONTH(C938)&gt;=4,MONTH(C938)&lt;=6),2,IF(AND(MONTH(C938)&gt;=7,MONTH(C938)&lt;=9),3,4))))</f>
        <v>3</v>
      </c>
      <c r="D939" s="83"/>
      <c r="E939" s="62" t="s">
        <v>2417</v>
      </c>
      <c r="F939" s="61" t="s">
        <v>11111</v>
      </c>
      <c r="G939" s="5"/>
      <c r="H939" s="5"/>
      <c r="I939" s="5"/>
      <c r="J939" s="5"/>
    </row>
    <row r="940" spans="1:10" ht="14.1" customHeight="1" thickBot="1" x14ac:dyDescent="0.25">
      <c r="A940" s="83"/>
      <c r="B940" s="62" t="s">
        <v>12941</v>
      </c>
      <c r="C940" s="71">
        <v>44392</v>
      </c>
      <c r="D940" s="83"/>
      <c r="E940" s="62" t="s">
        <v>3073</v>
      </c>
      <c r="F940" s="61" t="s">
        <v>11111</v>
      </c>
      <c r="G940" s="5"/>
      <c r="H940" s="5"/>
      <c r="I940" s="5"/>
      <c r="J940" s="5"/>
    </row>
    <row r="941" spans="1:10" ht="14.1" customHeight="1" thickBot="1" x14ac:dyDescent="0.25">
      <c r="A941" s="83"/>
      <c r="B941" s="62" t="s">
        <v>1786</v>
      </c>
      <c r="C941" s="60">
        <f>IF(C940="","",IF(AND(MONTH(C940)&gt;=1,MONTH(C940)&lt;=3),1,IF(AND(MONTH(C940)&gt;=4,MONTH(C940)&lt;=6),2,IF(AND(MONTH(C940)&gt;=7,MONTH(C940)&lt;=9),3,4))))</f>
        <v>3</v>
      </c>
      <c r="D941" s="83"/>
      <c r="E941" s="62" t="s">
        <v>13191</v>
      </c>
      <c r="F941" s="61" t="s">
        <v>11111</v>
      </c>
      <c r="G941" s="5"/>
      <c r="H941" s="5"/>
      <c r="I941" s="5"/>
      <c r="J941" s="5"/>
    </row>
    <row r="942" spans="1:10" ht="14.1" customHeight="1" thickBot="1" x14ac:dyDescent="0.25">
      <c r="A942" s="5"/>
      <c r="B942" s="5"/>
      <c r="C942" s="5"/>
      <c r="D942" s="5"/>
      <c r="E942" s="5"/>
      <c r="F942" s="5"/>
      <c r="G942" s="5"/>
      <c r="H942" s="5"/>
      <c r="I942" s="5"/>
      <c r="J942" s="5"/>
    </row>
    <row r="943" spans="1:10" ht="14.1" customHeight="1" thickBot="1" x14ac:dyDescent="0.25">
      <c r="A943" s="67" t="s">
        <v>15735</v>
      </c>
      <c r="B943" s="67" t="s">
        <v>16146</v>
      </c>
      <c r="C943" s="67" t="s">
        <v>15641</v>
      </c>
      <c r="D943" s="67" t="s">
        <v>15251</v>
      </c>
      <c r="E943" s="67" t="s">
        <v>6932</v>
      </c>
      <c r="F943" s="67" t="s">
        <v>15280</v>
      </c>
      <c r="G943" s="5"/>
      <c r="H943" s="5"/>
      <c r="I943" s="5"/>
      <c r="J943" s="5"/>
    </row>
    <row r="944" spans="1:10" ht="13.5" customHeight="1" x14ac:dyDescent="0.2">
      <c r="A944" s="77">
        <v>53102710</v>
      </c>
      <c r="B944" s="64" t="str">
        <f ca="1">IFERROR(INDEX(UNSPSCDes,MATCH(INDIRECT(ADDRESS(ROW(),COLUMN()-1,4)),UNSPSCCode,0)),"")</f>
        <v>Uniformes corporativos</v>
      </c>
      <c r="C944" s="63" t="s">
        <v>1449</v>
      </c>
      <c r="D944" s="63">
        <v>1</v>
      </c>
      <c r="E944" s="66">
        <v>300000</v>
      </c>
      <c r="F944" s="65">
        <f ca="1">INDIRECT(ADDRESS(ROW(),COLUMN()-2,4))*INDIRECT(ADDRESS(ROW(),COLUMN()-1,4))</f>
        <v>300000</v>
      </c>
      <c r="G944" s="5"/>
      <c r="H944" s="5"/>
      <c r="I944" s="5"/>
      <c r="J944" s="5"/>
    </row>
    <row r="945" spans="1:10" ht="14.1" customHeight="1" x14ac:dyDescent="0.2">
      <c r="A945" s="5"/>
      <c r="B945" s="5"/>
      <c r="C945" s="5"/>
      <c r="D945" s="5"/>
      <c r="E945" s="68" t="s">
        <v>12549</v>
      </c>
      <c r="F945" s="69">
        <f ca="1">SUM(Table385[MONTO TOTAL ESTIMADO])</f>
        <v>300000</v>
      </c>
      <c r="G945" s="5"/>
      <c r="H945" s="5" t="str">
        <f>C937</f>
        <v>Servicios</v>
      </c>
      <c r="I945" s="5" t="str">
        <f>E937</f>
        <v>Sí</v>
      </c>
      <c r="J945" s="5" t="str">
        <f>D937</f>
        <v>Compras Menores</v>
      </c>
    </row>
    <row r="946" spans="1:10" ht="14.1" customHeight="1" thickBot="1" x14ac:dyDescent="0.3"/>
    <row r="947" spans="1:10" ht="33.75" customHeight="1" thickBot="1" x14ac:dyDescent="0.25">
      <c r="A947" s="59" t="s">
        <v>16382</v>
      </c>
      <c r="B947" s="59" t="s">
        <v>161</v>
      </c>
      <c r="C947" s="59" t="s">
        <v>11723</v>
      </c>
      <c r="D947" s="59" t="s">
        <v>14377</v>
      </c>
      <c r="E947" s="59" t="s">
        <v>10961</v>
      </c>
      <c r="F947" s="59" t="s">
        <v>11094</v>
      </c>
      <c r="G947" s="5"/>
      <c r="H947" s="5"/>
      <c r="I947" s="5"/>
      <c r="J947" s="5"/>
    </row>
    <row r="948" spans="1:10" ht="14.1" customHeight="1" thickBot="1" x14ac:dyDescent="0.25">
      <c r="A948" s="61" t="s">
        <v>18882</v>
      </c>
      <c r="B948" s="61" t="s">
        <v>18883</v>
      </c>
      <c r="C948" s="61" t="s">
        <v>17798</v>
      </c>
      <c r="D948" s="61" t="s">
        <v>10170</v>
      </c>
      <c r="E948" s="61" t="s">
        <v>8854</v>
      </c>
      <c r="F948" s="61"/>
      <c r="G948" s="5"/>
      <c r="H948" s="5"/>
      <c r="I948" s="5"/>
      <c r="J948" s="5"/>
    </row>
    <row r="949" spans="1:10" ht="14.1" customHeight="1" thickBot="1" x14ac:dyDescent="0.25">
      <c r="A949" s="82" t="s">
        <v>14828</v>
      </c>
      <c r="B949" s="62" t="s">
        <v>8528</v>
      </c>
      <c r="C949" s="71">
        <v>44197</v>
      </c>
      <c r="D949" s="82" t="s">
        <v>9385</v>
      </c>
      <c r="E949" s="62" t="s">
        <v>13092</v>
      </c>
      <c r="F949" s="61" t="s">
        <v>3080</v>
      </c>
      <c r="G949" s="5"/>
      <c r="H949" s="5"/>
      <c r="I949" s="5"/>
      <c r="J949" s="5"/>
    </row>
    <row r="950" spans="1:10" ht="14.1" customHeight="1" thickBot="1" x14ac:dyDescent="0.25">
      <c r="A950" s="83"/>
      <c r="B950" s="62" t="s">
        <v>1786</v>
      </c>
      <c r="C950" s="60">
        <f>IF(C949="","",IF(AND(MONTH(C949)&gt;=1,MONTH(C949)&lt;=3),1,IF(AND(MONTH(C949)&gt;=4,MONTH(C949)&lt;=6),2,IF(AND(MONTH(C949)&gt;=7,MONTH(C949)&lt;=9),3,4))))</f>
        <v>1</v>
      </c>
      <c r="D950" s="83"/>
      <c r="E950" s="62" t="s">
        <v>2417</v>
      </c>
      <c r="F950" s="61" t="s">
        <v>11111</v>
      </c>
      <c r="G950" s="5"/>
      <c r="H950" s="5"/>
      <c r="I950" s="5"/>
      <c r="J950" s="5"/>
    </row>
    <row r="951" spans="1:10" ht="14.1" customHeight="1" thickBot="1" x14ac:dyDescent="0.25">
      <c r="A951" s="83"/>
      <c r="B951" s="62" t="s">
        <v>12941</v>
      </c>
      <c r="C951" s="71">
        <v>44198</v>
      </c>
      <c r="D951" s="83"/>
      <c r="E951" s="62" t="s">
        <v>3073</v>
      </c>
      <c r="F951" s="61" t="s">
        <v>11111</v>
      </c>
      <c r="G951" s="5"/>
      <c r="H951" s="5"/>
      <c r="I951" s="5"/>
      <c r="J951" s="5"/>
    </row>
    <row r="952" spans="1:10" ht="14.1" customHeight="1" thickBot="1" x14ac:dyDescent="0.25">
      <c r="A952" s="83"/>
      <c r="B952" s="62" t="s">
        <v>1786</v>
      </c>
      <c r="C952" s="60">
        <f>IF(C951="","",IF(AND(MONTH(C951)&gt;=1,MONTH(C951)&lt;=3),1,IF(AND(MONTH(C951)&gt;=4,MONTH(C951)&lt;=6),2,IF(AND(MONTH(C951)&gt;=7,MONTH(C951)&lt;=9),3,4))))</f>
        <v>1</v>
      </c>
      <c r="D952" s="83"/>
      <c r="E952" s="62" t="s">
        <v>13191</v>
      </c>
      <c r="F952" s="61" t="s">
        <v>11111</v>
      </c>
      <c r="G952" s="5"/>
      <c r="H952" s="5"/>
      <c r="I952" s="5"/>
      <c r="J952" s="5"/>
    </row>
    <row r="953" spans="1:10" ht="14.1" customHeight="1" thickBot="1" x14ac:dyDescent="0.25">
      <c r="A953" s="5"/>
      <c r="B953" s="5"/>
      <c r="C953" s="5"/>
      <c r="D953" s="5"/>
      <c r="E953" s="5"/>
      <c r="F953" s="5"/>
      <c r="G953" s="5"/>
      <c r="H953" s="5"/>
      <c r="I953" s="5"/>
      <c r="J953" s="5"/>
    </row>
    <row r="954" spans="1:10" ht="14.1" customHeight="1" thickBot="1" x14ac:dyDescent="0.25">
      <c r="A954" s="67" t="s">
        <v>15735</v>
      </c>
      <c r="B954" s="67" t="s">
        <v>16146</v>
      </c>
      <c r="C954" s="67" t="s">
        <v>15641</v>
      </c>
      <c r="D954" s="67" t="s">
        <v>15251</v>
      </c>
      <c r="E954" s="67" t="s">
        <v>6932</v>
      </c>
      <c r="F954" s="67" t="s">
        <v>15280</v>
      </c>
      <c r="G954" s="5"/>
      <c r="H954" s="5"/>
      <c r="I954" s="5"/>
      <c r="J954" s="5"/>
    </row>
    <row r="955" spans="1:10" ht="13.5" customHeight="1" x14ac:dyDescent="0.2">
      <c r="A955" s="63">
        <v>14111506</v>
      </c>
      <c r="B955" s="64" t="str">
        <f ca="1">IFERROR(INDEX(UNSPSCDes,MATCH(INDIRECT(ADDRESS(ROW(),COLUMN()-1,4)),UNSPSCCode,0)),"")</f>
        <v>Papel para impresión de computadores</v>
      </c>
      <c r="C955" s="63" t="s">
        <v>1449</v>
      </c>
      <c r="D955" s="63">
        <v>1</v>
      </c>
      <c r="E955" s="66">
        <v>75000</v>
      </c>
      <c r="F955" s="65">
        <f ca="1">INDIRECT(ADDRESS(ROW(),COLUMN()-2,4))*INDIRECT(ADDRESS(ROW(),COLUMN()-1,4))</f>
        <v>75000</v>
      </c>
      <c r="G955" s="5"/>
      <c r="H955" s="5"/>
      <c r="I955" s="5"/>
      <c r="J955" s="5"/>
    </row>
    <row r="956" spans="1:10" ht="14.1" customHeight="1" x14ac:dyDescent="0.2">
      <c r="A956" s="5"/>
      <c r="B956" s="5"/>
      <c r="C956" s="5"/>
      <c r="D956" s="5"/>
      <c r="E956" s="68" t="s">
        <v>12549</v>
      </c>
      <c r="F956" s="69">
        <f ca="1">SUM(Table386[MONTO TOTAL ESTIMADO])</f>
        <v>75000</v>
      </c>
      <c r="G956" s="5"/>
      <c r="H956" s="5" t="str">
        <f>C948</f>
        <v>Bienes</v>
      </c>
      <c r="I956" s="5" t="str">
        <f>E948</f>
        <v>Sí</v>
      </c>
      <c r="J956" s="5" t="str">
        <f>D948</f>
        <v>Compras por debajo del Umbral</v>
      </c>
    </row>
    <row r="957" spans="1:10" ht="14.1" customHeight="1" thickBot="1" x14ac:dyDescent="0.3"/>
    <row r="958" spans="1:10" ht="33.75" customHeight="1" thickBot="1" x14ac:dyDescent="0.25">
      <c r="A958" s="59" t="s">
        <v>16382</v>
      </c>
      <c r="B958" s="59" t="s">
        <v>161</v>
      </c>
      <c r="C958" s="59" t="s">
        <v>11723</v>
      </c>
      <c r="D958" s="59" t="s">
        <v>14377</v>
      </c>
      <c r="E958" s="59" t="s">
        <v>10961</v>
      </c>
      <c r="F958" s="59" t="s">
        <v>11094</v>
      </c>
      <c r="G958" s="5"/>
      <c r="H958" s="5"/>
      <c r="I958" s="5"/>
      <c r="J958" s="5"/>
    </row>
    <row r="959" spans="1:10" ht="14.1" customHeight="1" thickBot="1" x14ac:dyDescent="0.25">
      <c r="A959" s="61" t="s">
        <v>18882</v>
      </c>
      <c r="B959" s="61" t="s">
        <v>18883</v>
      </c>
      <c r="C959" s="61" t="s">
        <v>17798</v>
      </c>
      <c r="D959" s="61" t="s">
        <v>10170</v>
      </c>
      <c r="E959" s="61" t="s">
        <v>8854</v>
      </c>
      <c r="F959" s="61"/>
      <c r="G959" s="5"/>
      <c r="H959" s="5"/>
      <c r="I959" s="5"/>
      <c r="J959" s="5"/>
    </row>
    <row r="960" spans="1:10" ht="14.1" customHeight="1" thickBot="1" x14ac:dyDescent="0.25">
      <c r="A960" s="82" t="s">
        <v>14828</v>
      </c>
      <c r="B960" s="62" t="s">
        <v>8528</v>
      </c>
      <c r="C960" s="71">
        <v>44287</v>
      </c>
      <c r="D960" s="82" t="s">
        <v>9385</v>
      </c>
      <c r="E960" s="62" t="s">
        <v>13092</v>
      </c>
      <c r="F960" s="61" t="s">
        <v>3080</v>
      </c>
      <c r="G960" s="5"/>
      <c r="H960" s="5"/>
      <c r="I960" s="5"/>
      <c r="J960" s="5"/>
    </row>
    <row r="961" spans="1:10" ht="14.1" customHeight="1" thickBot="1" x14ac:dyDescent="0.25">
      <c r="A961" s="83"/>
      <c r="B961" s="62" t="s">
        <v>1786</v>
      </c>
      <c r="C961" s="60">
        <f>IF(C960="","",IF(AND(MONTH(C960)&gt;=1,MONTH(C960)&lt;=3),1,IF(AND(MONTH(C960)&gt;=4,MONTH(C960)&lt;=6),2,IF(AND(MONTH(C960)&gt;=7,MONTH(C960)&lt;=9),3,4))))</f>
        <v>2</v>
      </c>
      <c r="D961" s="83"/>
      <c r="E961" s="62" t="s">
        <v>2417</v>
      </c>
      <c r="F961" s="61" t="s">
        <v>11111</v>
      </c>
      <c r="G961" s="5"/>
      <c r="H961" s="5"/>
      <c r="I961" s="5"/>
      <c r="J961" s="5"/>
    </row>
    <row r="962" spans="1:10" ht="14.1" customHeight="1" thickBot="1" x14ac:dyDescent="0.25">
      <c r="A962" s="83"/>
      <c r="B962" s="62" t="s">
        <v>12941</v>
      </c>
      <c r="C962" s="71">
        <v>44288</v>
      </c>
      <c r="D962" s="83"/>
      <c r="E962" s="62" t="s">
        <v>3073</v>
      </c>
      <c r="F962" s="61" t="s">
        <v>11111</v>
      </c>
      <c r="G962" s="5"/>
      <c r="H962" s="5"/>
      <c r="I962" s="5"/>
      <c r="J962" s="5"/>
    </row>
    <row r="963" spans="1:10" ht="14.1" customHeight="1" thickBot="1" x14ac:dyDescent="0.25">
      <c r="A963" s="83"/>
      <c r="B963" s="62" t="s">
        <v>1786</v>
      </c>
      <c r="C963" s="60">
        <f>IF(C962="","",IF(AND(MONTH(C962)&gt;=1,MONTH(C962)&lt;=3),1,IF(AND(MONTH(C962)&gt;=4,MONTH(C962)&lt;=6),2,IF(AND(MONTH(C962)&gt;=7,MONTH(C962)&lt;=9),3,4))))</f>
        <v>2</v>
      </c>
      <c r="D963" s="83"/>
      <c r="E963" s="62" t="s">
        <v>13191</v>
      </c>
      <c r="F963" s="61" t="s">
        <v>11111</v>
      </c>
      <c r="G963" s="5"/>
      <c r="H963" s="5"/>
      <c r="I963" s="5"/>
      <c r="J963" s="5"/>
    </row>
    <row r="964" spans="1:10" ht="14.1" customHeight="1" thickBot="1" x14ac:dyDescent="0.25">
      <c r="A964" s="5"/>
      <c r="B964" s="5"/>
      <c r="C964" s="5"/>
      <c r="D964" s="5"/>
      <c r="E964" s="5"/>
      <c r="F964" s="5"/>
      <c r="G964" s="5"/>
      <c r="H964" s="5"/>
      <c r="I964" s="5"/>
      <c r="J964" s="5"/>
    </row>
    <row r="965" spans="1:10" ht="14.1" customHeight="1" thickBot="1" x14ac:dyDescent="0.25">
      <c r="A965" s="67" t="s">
        <v>15735</v>
      </c>
      <c r="B965" s="67" t="s">
        <v>16146</v>
      </c>
      <c r="C965" s="67" t="s">
        <v>15641</v>
      </c>
      <c r="D965" s="67" t="s">
        <v>15251</v>
      </c>
      <c r="E965" s="67" t="s">
        <v>6932</v>
      </c>
      <c r="F965" s="67" t="s">
        <v>15280</v>
      </c>
      <c r="G965" s="5"/>
      <c r="H965" s="5"/>
      <c r="I965" s="5"/>
      <c r="J965" s="5"/>
    </row>
    <row r="966" spans="1:10" ht="13.5" customHeight="1" x14ac:dyDescent="0.2">
      <c r="A966" s="63">
        <v>14111506</v>
      </c>
      <c r="B966" s="64" t="str">
        <f ca="1">IFERROR(INDEX(UNSPSCDes,MATCH(INDIRECT(ADDRESS(ROW(),COLUMN()-1,4)),UNSPSCCode,0)),"")</f>
        <v>Papel para impresión de computadores</v>
      </c>
      <c r="C966" s="63" t="s">
        <v>1449</v>
      </c>
      <c r="D966" s="63">
        <v>1</v>
      </c>
      <c r="E966" s="66">
        <v>75000</v>
      </c>
      <c r="F966" s="65">
        <f ca="1">INDIRECT(ADDRESS(ROW(),COLUMN()-2,4))*INDIRECT(ADDRESS(ROW(),COLUMN()-1,4))</f>
        <v>75000</v>
      </c>
      <c r="G966" s="5"/>
      <c r="H966" s="5"/>
      <c r="I966" s="5"/>
      <c r="J966" s="5"/>
    </row>
    <row r="967" spans="1:10" ht="14.1" customHeight="1" x14ac:dyDescent="0.2">
      <c r="A967" s="5"/>
      <c r="B967" s="5"/>
      <c r="C967" s="5"/>
      <c r="D967" s="5"/>
      <c r="E967" s="68" t="s">
        <v>12549</v>
      </c>
      <c r="F967" s="69">
        <f ca="1">SUM(Table387[MONTO TOTAL ESTIMADO])</f>
        <v>75000</v>
      </c>
      <c r="G967" s="5"/>
      <c r="H967" s="5" t="str">
        <f>C959</f>
        <v>Bienes</v>
      </c>
      <c r="I967" s="5" t="str">
        <f>E959</f>
        <v>Sí</v>
      </c>
      <c r="J967" s="5" t="str">
        <f>D959</f>
        <v>Compras por debajo del Umbral</v>
      </c>
    </row>
    <row r="968" spans="1:10" ht="14.1" customHeight="1" thickBot="1" x14ac:dyDescent="0.3"/>
    <row r="969" spans="1:10" ht="33.75" customHeight="1" thickBot="1" x14ac:dyDescent="0.25">
      <c r="A969" s="59" t="s">
        <v>16382</v>
      </c>
      <c r="B969" s="59" t="s">
        <v>161</v>
      </c>
      <c r="C969" s="59" t="s">
        <v>11723</v>
      </c>
      <c r="D969" s="59" t="s">
        <v>14377</v>
      </c>
      <c r="E969" s="59" t="s">
        <v>10961</v>
      </c>
      <c r="F969" s="59" t="s">
        <v>11094</v>
      </c>
      <c r="G969" s="5"/>
      <c r="H969" s="5"/>
      <c r="I969" s="5"/>
      <c r="J969" s="5"/>
    </row>
    <row r="970" spans="1:10" ht="14.1" customHeight="1" thickBot="1" x14ac:dyDescent="0.25">
      <c r="A970" s="61" t="s">
        <v>18882</v>
      </c>
      <c r="B970" s="61" t="s">
        <v>18883</v>
      </c>
      <c r="C970" s="61" t="s">
        <v>17798</v>
      </c>
      <c r="D970" s="61" t="s">
        <v>10170</v>
      </c>
      <c r="E970" s="61" t="s">
        <v>8854</v>
      </c>
      <c r="F970" s="61"/>
      <c r="G970" s="5"/>
      <c r="H970" s="5"/>
      <c r="I970" s="5"/>
      <c r="J970" s="5"/>
    </row>
    <row r="971" spans="1:10" ht="14.1" customHeight="1" thickBot="1" x14ac:dyDescent="0.25">
      <c r="A971" s="82" t="s">
        <v>14828</v>
      </c>
      <c r="B971" s="62" t="s">
        <v>8528</v>
      </c>
      <c r="C971" s="71">
        <v>44378</v>
      </c>
      <c r="D971" s="82" t="s">
        <v>9385</v>
      </c>
      <c r="E971" s="62" t="s">
        <v>13092</v>
      </c>
      <c r="F971" s="61" t="s">
        <v>3080</v>
      </c>
      <c r="G971" s="5"/>
      <c r="H971" s="5"/>
      <c r="I971" s="5"/>
      <c r="J971" s="5"/>
    </row>
    <row r="972" spans="1:10" ht="14.1" customHeight="1" thickBot="1" x14ac:dyDescent="0.25">
      <c r="A972" s="83"/>
      <c r="B972" s="62" t="s">
        <v>1786</v>
      </c>
      <c r="C972" s="60">
        <f>IF(C971="","",IF(AND(MONTH(C971)&gt;=1,MONTH(C971)&lt;=3),1,IF(AND(MONTH(C971)&gt;=4,MONTH(C971)&lt;=6),2,IF(AND(MONTH(C971)&gt;=7,MONTH(C971)&lt;=9),3,4))))</f>
        <v>3</v>
      </c>
      <c r="D972" s="83"/>
      <c r="E972" s="62" t="s">
        <v>2417</v>
      </c>
      <c r="F972" s="61" t="s">
        <v>11111</v>
      </c>
      <c r="G972" s="5"/>
      <c r="H972" s="5"/>
      <c r="I972" s="5"/>
      <c r="J972" s="5"/>
    </row>
    <row r="973" spans="1:10" ht="14.1" customHeight="1" thickBot="1" x14ac:dyDescent="0.25">
      <c r="A973" s="83"/>
      <c r="B973" s="62" t="s">
        <v>12941</v>
      </c>
      <c r="C973" s="71">
        <v>44379</v>
      </c>
      <c r="D973" s="83"/>
      <c r="E973" s="62" t="s">
        <v>3073</v>
      </c>
      <c r="F973" s="61" t="s">
        <v>11111</v>
      </c>
      <c r="G973" s="5"/>
      <c r="H973" s="5"/>
      <c r="I973" s="5"/>
      <c r="J973" s="5"/>
    </row>
    <row r="974" spans="1:10" ht="14.1" customHeight="1" thickBot="1" x14ac:dyDescent="0.25">
      <c r="A974" s="83"/>
      <c r="B974" s="62" t="s">
        <v>1786</v>
      </c>
      <c r="C974" s="60">
        <f>IF(C973="","",IF(AND(MONTH(C973)&gt;=1,MONTH(C973)&lt;=3),1,IF(AND(MONTH(C973)&gt;=4,MONTH(C973)&lt;=6),2,IF(AND(MONTH(C973)&gt;=7,MONTH(C973)&lt;=9),3,4))))</f>
        <v>3</v>
      </c>
      <c r="D974" s="83"/>
      <c r="E974" s="62" t="s">
        <v>13191</v>
      </c>
      <c r="F974" s="61" t="s">
        <v>11111</v>
      </c>
      <c r="G974" s="5"/>
      <c r="H974" s="5"/>
      <c r="I974" s="5"/>
      <c r="J974" s="5"/>
    </row>
    <row r="975" spans="1:10" ht="14.1" customHeight="1" thickBot="1" x14ac:dyDescent="0.25">
      <c r="A975" s="5"/>
      <c r="B975" s="5"/>
      <c r="C975" s="5"/>
      <c r="D975" s="5"/>
      <c r="E975" s="5"/>
      <c r="F975" s="5"/>
      <c r="G975" s="5"/>
      <c r="H975" s="5"/>
      <c r="I975" s="5"/>
      <c r="J975" s="5"/>
    </row>
    <row r="976" spans="1:10" ht="14.1" customHeight="1" thickBot="1" x14ac:dyDescent="0.25">
      <c r="A976" s="67" t="s">
        <v>15735</v>
      </c>
      <c r="B976" s="67" t="s">
        <v>16146</v>
      </c>
      <c r="C976" s="67" t="s">
        <v>15641</v>
      </c>
      <c r="D976" s="67" t="s">
        <v>15251</v>
      </c>
      <c r="E976" s="67" t="s">
        <v>6932</v>
      </c>
      <c r="F976" s="67" t="s">
        <v>15280</v>
      </c>
      <c r="G976" s="5"/>
      <c r="H976" s="5"/>
      <c r="I976" s="5"/>
      <c r="J976" s="5"/>
    </row>
    <row r="977" spans="1:10" ht="13.5" customHeight="1" x14ac:dyDescent="0.2">
      <c r="A977" s="63">
        <v>14111506</v>
      </c>
      <c r="B977" s="64" t="str">
        <f ca="1">IFERROR(INDEX(UNSPSCDes,MATCH(INDIRECT(ADDRESS(ROW(),COLUMN()-1,4)),UNSPSCCode,0)),"")</f>
        <v>Papel para impresión de computadores</v>
      </c>
      <c r="C977" s="63" t="s">
        <v>1449</v>
      </c>
      <c r="D977" s="63">
        <v>1</v>
      </c>
      <c r="E977" s="66">
        <v>75000</v>
      </c>
      <c r="F977" s="65">
        <f ca="1">INDIRECT(ADDRESS(ROW(),COLUMN()-2,4))*INDIRECT(ADDRESS(ROW(),COLUMN()-1,4))</f>
        <v>75000</v>
      </c>
      <c r="G977" s="5"/>
      <c r="H977" s="5"/>
      <c r="I977" s="5"/>
      <c r="J977" s="5"/>
    </row>
    <row r="978" spans="1:10" ht="14.1" customHeight="1" x14ac:dyDescent="0.2">
      <c r="A978" s="5"/>
      <c r="B978" s="5"/>
      <c r="C978" s="5"/>
      <c r="D978" s="5"/>
      <c r="E978" s="68" t="s">
        <v>12549</v>
      </c>
      <c r="F978" s="69">
        <f ca="1">SUM(Table388[MONTO TOTAL ESTIMADO])</f>
        <v>75000</v>
      </c>
      <c r="G978" s="5"/>
      <c r="H978" s="5" t="str">
        <f>C970</f>
        <v>Bienes</v>
      </c>
      <c r="I978" s="5" t="str">
        <f>E970</f>
        <v>Sí</v>
      </c>
      <c r="J978" s="5" t="str">
        <f>D970</f>
        <v>Compras por debajo del Umbral</v>
      </c>
    </row>
    <row r="979" spans="1:10" ht="14.1" customHeight="1" thickBot="1" x14ac:dyDescent="0.3"/>
    <row r="980" spans="1:10" ht="33.75" customHeight="1" thickBot="1" x14ac:dyDescent="0.25">
      <c r="A980" s="59" t="s">
        <v>16382</v>
      </c>
      <c r="B980" s="59" t="s">
        <v>161</v>
      </c>
      <c r="C980" s="59" t="s">
        <v>11723</v>
      </c>
      <c r="D980" s="59" t="s">
        <v>14377</v>
      </c>
      <c r="E980" s="59" t="s">
        <v>10961</v>
      </c>
      <c r="F980" s="59" t="s">
        <v>11094</v>
      </c>
      <c r="G980" s="5"/>
      <c r="H980" s="5"/>
      <c r="I980" s="5"/>
      <c r="J980" s="5"/>
    </row>
    <row r="981" spans="1:10" ht="14.1" customHeight="1" thickBot="1" x14ac:dyDescent="0.25">
      <c r="A981" s="61" t="s">
        <v>18882</v>
      </c>
      <c r="B981" s="61" t="s">
        <v>18883</v>
      </c>
      <c r="C981" s="61" t="s">
        <v>17798</v>
      </c>
      <c r="D981" s="61" t="s">
        <v>10170</v>
      </c>
      <c r="E981" s="61" t="s">
        <v>8854</v>
      </c>
      <c r="F981" s="61"/>
      <c r="G981" s="5"/>
      <c r="H981" s="5"/>
      <c r="I981" s="5"/>
      <c r="J981" s="5"/>
    </row>
    <row r="982" spans="1:10" ht="14.1" customHeight="1" thickBot="1" x14ac:dyDescent="0.25">
      <c r="A982" s="82" t="s">
        <v>14828</v>
      </c>
      <c r="B982" s="62" t="s">
        <v>8528</v>
      </c>
      <c r="C982" s="71">
        <v>44470</v>
      </c>
      <c r="D982" s="82" t="s">
        <v>9385</v>
      </c>
      <c r="E982" s="62" t="s">
        <v>13092</v>
      </c>
      <c r="F982" s="61" t="s">
        <v>3080</v>
      </c>
      <c r="G982" s="5"/>
      <c r="H982" s="5"/>
      <c r="I982" s="5"/>
      <c r="J982" s="5"/>
    </row>
    <row r="983" spans="1:10" ht="14.1" customHeight="1" thickBot="1" x14ac:dyDescent="0.25">
      <c r="A983" s="83"/>
      <c r="B983" s="62" t="s">
        <v>1786</v>
      </c>
      <c r="C983" s="60">
        <f>IF(C982="","",IF(AND(MONTH(C982)&gt;=1,MONTH(C982)&lt;=3),1,IF(AND(MONTH(C982)&gt;=4,MONTH(C982)&lt;=6),2,IF(AND(MONTH(C982)&gt;=7,MONTH(C982)&lt;=9),3,4))))</f>
        <v>4</v>
      </c>
      <c r="D983" s="83"/>
      <c r="E983" s="62" t="s">
        <v>2417</v>
      </c>
      <c r="F983" s="61" t="s">
        <v>11111</v>
      </c>
      <c r="G983" s="5"/>
      <c r="H983" s="5"/>
      <c r="I983" s="5"/>
      <c r="J983" s="5"/>
    </row>
    <row r="984" spans="1:10" ht="14.1" customHeight="1" thickBot="1" x14ac:dyDescent="0.25">
      <c r="A984" s="83"/>
      <c r="B984" s="62" t="s">
        <v>12941</v>
      </c>
      <c r="C984" s="71">
        <v>44473</v>
      </c>
      <c r="D984" s="83"/>
      <c r="E984" s="62" t="s">
        <v>3073</v>
      </c>
      <c r="F984" s="61" t="s">
        <v>11111</v>
      </c>
      <c r="G984" s="5"/>
      <c r="H984" s="5"/>
      <c r="I984" s="5"/>
      <c r="J984" s="5"/>
    </row>
    <row r="985" spans="1:10" ht="14.1" customHeight="1" thickBot="1" x14ac:dyDescent="0.25">
      <c r="A985" s="83"/>
      <c r="B985" s="62" t="s">
        <v>1786</v>
      </c>
      <c r="C985" s="60">
        <f>IF(C984="","",IF(AND(MONTH(C984)&gt;=1,MONTH(C984)&lt;=3),1,IF(AND(MONTH(C984)&gt;=4,MONTH(C984)&lt;=6),2,IF(AND(MONTH(C984)&gt;=7,MONTH(C984)&lt;=9),3,4))))</f>
        <v>4</v>
      </c>
      <c r="D985" s="83"/>
      <c r="E985" s="62" t="s">
        <v>13191</v>
      </c>
      <c r="F985" s="61" t="s">
        <v>11111</v>
      </c>
      <c r="G985" s="5"/>
      <c r="H985" s="5"/>
      <c r="I985" s="5"/>
      <c r="J985" s="5"/>
    </row>
    <row r="986" spans="1:10" ht="14.1" customHeight="1" thickBot="1" x14ac:dyDescent="0.25">
      <c r="A986" s="5"/>
      <c r="B986" s="5"/>
      <c r="C986" s="5"/>
      <c r="D986" s="5"/>
      <c r="E986" s="5"/>
      <c r="F986" s="5"/>
      <c r="G986" s="5"/>
      <c r="H986" s="5"/>
      <c r="I986" s="5"/>
      <c r="J986" s="5"/>
    </row>
    <row r="987" spans="1:10" ht="14.1" customHeight="1" thickBot="1" x14ac:dyDescent="0.25">
      <c r="A987" s="67" t="s">
        <v>15735</v>
      </c>
      <c r="B987" s="67" t="s">
        <v>16146</v>
      </c>
      <c r="C987" s="67" t="s">
        <v>15641</v>
      </c>
      <c r="D987" s="67" t="s">
        <v>15251</v>
      </c>
      <c r="E987" s="67" t="s">
        <v>6932</v>
      </c>
      <c r="F987" s="67" t="s">
        <v>15280</v>
      </c>
      <c r="G987" s="5"/>
      <c r="H987" s="5"/>
      <c r="I987" s="5"/>
      <c r="J987" s="5"/>
    </row>
    <row r="988" spans="1:10" ht="13.5" customHeight="1" x14ac:dyDescent="0.2">
      <c r="A988" s="63">
        <v>14111506</v>
      </c>
      <c r="B988" s="64" t="str">
        <f ca="1">IFERROR(INDEX(UNSPSCDes,MATCH(INDIRECT(ADDRESS(ROW(),COLUMN()-1,4)),UNSPSCCode,0)),"")</f>
        <v>Papel para impresión de computadores</v>
      </c>
      <c r="C988" s="63" t="s">
        <v>1449</v>
      </c>
      <c r="D988" s="63">
        <v>1</v>
      </c>
      <c r="E988" s="66">
        <v>75000</v>
      </c>
      <c r="F988" s="65">
        <f ca="1">INDIRECT(ADDRESS(ROW(),COLUMN()-2,4))*INDIRECT(ADDRESS(ROW(),COLUMN()-1,4))</f>
        <v>75000</v>
      </c>
      <c r="G988" s="5"/>
      <c r="H988" s="5"/>
      <c r="I988" s="5"/>
      <c r="J988" s="5"/>
    </row>
    <row r="989" spans="1:10" ht="14.1" customHeight="1" x14ac:dyDescent="0.2">
      <c r="A989" s="5"/>
      <c r="B989" s="5"/>
      <c r="C989" s="5"/>
      <c r="D989" s="5"/>
      <c r="E989" s="68" t="s">
        <v>12549</v>
      </c>
      <c r="F989" s="69">
        <f ca="1">SUM(Table389[MONTO TOTAL ESTIMADO])</f>
        <v>75000</v>
      </c>
      <c r="G989" s="5"/>
      <c r="H989" s="5" t="str">
        <f>C981</f>
        <v>Bienes</v>
      </c>
      <c r="I989" s="5" t="str">
        <f>E981</f>
        <v>Sí</v>
      </c>
      <c r="J989" s="5" t="str">
        <f>D981</f>
        <v>Compras por debajo del Umbral</v>
      </c>
    </row>
    <row r="990" spans="1:10" ht="14.1" customHeight="1" thickBot="1" x14ac:dyDescent="0.3"/>
    <row r="991" spans="1:10" ht="33.75" customHeight="1" thickBot="1" x14ac:dyDescent="0.25">
      <c r="A991" s="59" t="s">
        <v>16382</v>
      </c>
      <c r="B991" s="59" t="s">
        <v>161</v>
      </c>
      <c r="C991" s="59" t="s">
        <v>11723</v>
      </c>
      <c r="D991" s="59" t="s">
        <v>14377</v>
      </c>
      <c r="E991" s="59" t="s">
        <v>10961</v>
      </c>
      <c r="F991" s="59" t="s">
        <v>11094</v>
      </c>
      <c r="G991" s="5"/>
      <c r="H991" s="5"/>
      <c r="I991" s="5"/>
      <c r="J991" s="5"/>
    </row>
    <row r="992" spans="1:10" ht="14.1" customHeight="1" thickBot="1" x14ac:dyDescent="0.25">
      <c r="A992" s="61" t="s">
        <v>18884</v>
      </c>
      <c r="B992" s="61" t="s">
        <v>18884</v>
      </c>
      <c r="C992" s="61" t="s">
        <v>17798</v>
      </c>
      <c r="D992" s="61" t="s">
        <v>10170</v>
      </c>
      <c r="E992" s="61" t="s">
        <v>8854</v>
      </c>
      <c r="F992" s="61"/>
      <c r="G992" s="5"/>
      <c r="H992" s="5"/>
      <c r="I992" s="5"/>
      <c r="J992" s="5"/>
    </row>
    <row r="993" spans="1:10" ht="14.1" customHeight="1" thickBot="1" x14ac:dyDescent="0.25">
      <c r="A993" s="82" t="s">
        <v>14828</v>
      </c>
      <c r="B993" s="62" t="s">
        <v>8528</v>
      </c>
      <c r="C993" s="71">
        <v>44197</v>
      </c>
      <c r="D993" s="82" t="s">
        <v>9385</v>
      </c>
      <c r="E993" s="62" t="s">
        <v>13092</v>
      </c>
      <c r="F993" s="61" t="s">
        <v>3080</v>
      </c>
      <c r="G993" s="5"/>
      <c r="H993" s="5"/>
      <c r="I993" s="5"/>
      <c r="J993" s="5"/>
    </row>
    <row r="994" spans="1:10" ht="14.1" customHeight="1" thickBot="1" x14ac:dyDescent="0.25">
      <c r="A994" s="83"/>
      <c r="B994" s="62" t="s">
        <v>1786</v>
      </c>
      <c r="C994" s="60">
        <f>IF(C993="","",IF(AND(MONTH(C993)&gt;=1,MONTH(C993)&lt;=3),1,IF(AND(MONTH(C993)&gt;=4,MONTH(C993)&lt;=6),2,IF(AND(MONTH(C993)&gt;=7,MONTH(C993)&lt;=9),3,4))))</f>
        <v>1</v>
      </c>
      <c r="D994" s="83"/>
      <c r="E994" s="62" t="s">
        <v>2417</v>
      </c>
      <c r="F994" s="61" t="s">
        <v>11111</v>
      </c>
      <c r="G994" s="5"/>
      <c r="H994" s="5"/>
      <c r="I994" s="5"/>
      <c r="J994" s="5"/>
    </row>
    <row r="995" spans="1:10" ht="14.1" customHeight="1" thickBot="1" x14ac:dyDescent="0.25">
      <c r="A995" s="83"/>
      <c r="B995" s="62" t="s">
        <v>12941</v>
      </c>
      <c r="C995" s="71">
        <v>44198</v>
      </c>
      <c r="D995" s="83"/>
      <c r="E995" s="62" t="s">
        <v>3073</v>
      </c>
      <c r="F995" s="61" t="s">
        <v>11111</v>
      </c>
      <c r="G995" s="5"/>
      <c r="H995" s="5"/>
      <c r="I995" s="5"/>
      <c r="J995" s="5"/>
    </row>
    <row r="996" spans="1:10" ht="14.1" customHeight="1" thickBot="1" x14ac:dyDescent="0.25">
      <c r="A996" s="83"/>
      <c r="B996" s="62" t="s">
        <v>1786</v>
      </c>
      <c r="C996" s="60">
        <f>IF(C995="","",IF(AND(MONTH(C995)&gt;=1,MONTH(C995)&lt;=3),1,IF(AND(MONTH(C995)&gt;=4,MONTH(C995)&lt;=6),2,IF(AND(MONTH(C995)&gt;=7,MONTH(C995)&lt;=9),3,4))))</f>
        <v>1</v>
      </c>
      <c r="D996" s="83"/>
      <c r="E996" s="62" t="s">
        <v>13191</v>
      </c>
      <c r="F996" s="61" t="s">
        <v>11111</v>
      </c>
      <c r="G996" s="5"/>
      <c r="H996" s="5"/>
      <c r="I996" s="5"/>
      <c r="J996" s="5"/>
    </row>
    <row r="997" spans="1:10" ht="14.1" customHeight="1" thickBot="1" x14ac:dyDescent="0.25">
      <c r="A997" s="5"/>
      <c r="B997" s="5"/>
      <c r="C997" s="5"/>
      <c r="D997" s="5"/>
      <c r="E997" s="5"/>
      <c r="F997" s="5"/>
      <c r="G997" s="5"/>
      <c r="H997" s="5"/>
      <c r="I997" s="5"/>
      <c r="J997" s="5"/>
    </row>
    <row r="998" spans="1:10" ht="14.1" customHeight="1" thickBot="1" x14ac:dyDescent="0.25">
      <c r="A998" s="67" t="s">
        <v>15735</v>
      </c>
      <c r="B998" s="67" t="s">
        <v>16146</v>
      </c>
      <c r="C998" s="67" t="s">
        <v>15641</v>
      </c>
      <c r="D998" s="67" t="s">
        <v>15251</v>
      </c>
      <c r="E998" s="67" t="s">
        <v>6932</v>
      </c>
      <c r="F998" s="67" t="s">
        <v>15280</v>
      </c>
      <c r="G998" s="5"/>
      <c r="H998" s="5"/>
      <c r="I998" s="5"/>
      <c r="J998" s="5"/>
    </row>
    <row r="999" spans="1:10" ht="13.5" customHeight="1" x14ac:dyDescent="0.2">
      <c r="A999" s="63">
        <v>14111704</v>
      </c>
      <c r="B999" s="64" t="str">
        <f ca="1">IFERROR(INDEX(UNSPSCDes,MATCH(INDIRECT(ADDRESS(ROW(),COLUMN()-1,4)),UNSPSCCode,0)),"")</f>
        <v>Papel higiénico</v>
      </c>
      <c r="C999" s="63" t="s">
        <v>1449</v>
      </c>
      <c r="D999" s="63">
        <v>1</v>
      </c>
      <c r="E999" s="66">
        <v>81250</v>
      </c>
      <c r="F999" s="65">
        <f ca="1">INDIRECT(ADDRESS(ROW(),COLUMN()-2,4))*INDIRECT(ADDRESS(ROW(),COLUMN()-1,4))</f>
        <v>81250</v>
      </c>
      <c r="G999" s="5"/>
      <c r="H999" s="5"/>
      <c r="I999" s="5"/>
      <c r="J999" s="5"/>
    </row>
    <row r="1000" spans="1:10" ht="14.1" customHeight="1" x14ac:dyDescent="0.2">
      <c r="A1000" s="5"/>
      <c r="B1000" s="5"/>
      <c r="C1000" s="5"/>
      <c r="D1000" s="5"/>
      <c r="E1000" s="68" t="s">
        <v>12549</v>
      </c>
      <c r="F1000" s="69">
        <f ca="1">SUM(Table390[MONTO TOTAL ESTIMADO])</f>
        <v>81250</v>
      </c>
      <c r="G1000" s="5"/>
      <c r="H1000" s="5" t="str">
        <f>C992</f>
        <v>Bienes</v>
      </c>
      <c r="I1000" s="5" t="str">
        <f>E992</f>
        <v>Sí</v>
      </c>
      <c r="J1000" s="5" t="str">
        <f>D992</f>
        <v>Compras por debajo del Umbral</v>
      </c>
    </row>
    <row r="1001" spans="1:10" ht="14.1" customHeight="1" thickBot="1" x14ac:dyDescent="0.3"/>
    <row r="1002" spans="1:10" ht="33.75" customHeight="1" thickBot="1" x14ac:dyDescent="0.25">
      <c r="A1002" s="59" t="s">
        <v>16382</v>
      </c>
      <c r="B1002" s="59" t="s">
        <v>161</v>
      </c>
      <c r="C1002" s="59" t="s">
        <v>11723</v>
      </c>
      <c r="D1002" s="59" t="s">
        <v>14377</v>
      </c>
      <c r="E1002" s="59" t="s">
        <v>10961</v>
      </c>
      <c r="F1002" s="59" t="s">
        <v>11094</v>
      </c>
      <c r="G1002" s="5"/>
      <c r="H1002" s="5"/>
      <c r="I1002" s="5"/>
      <c r="J1002" s="5"/>
    </row>
    <row r="1003" spans="1:10" ht="14.1" customHeight="1" thickBot="1" x14ac:dyDescent="0.25">
      <c r="A1003" s="61" t="s">
        <v>18884</v>
      </c>
      <c r="B1003" s="61" t="s">
        <v>18884</v>
      </c>
      <c r="C1003" s="61" t="s">
        <v>17798</v>
      </c>
      <c r="D1003" s="61" t="s">
        <v>10170</v>
      </c>
      <c r="E1003" s="61" t="s">
        <v>8854</v>
      </c>
      <c r="F1003" s="61"/>
      <c r="G1003" s="5"/>
      <c r="H1003" s="5"/>
      <c r="I1003" s="5"/>
      <c r="J1003" s="5"/>
    </row>
    <row r="1004" spans="1:10" ht="14.1" customHeight="1" thickBot="1" x14ac:dyDescent="0.25">
      <c r="A1004" s="82" t="s">
        <v>14828</v>
      </c>
      <c r="B1004" s="62" t="s">
        <v>8528</v>
      </c>
      <c r="C1004" s="71">
        <v>44287</v>
      </c>
      <c r="D1004" s="82" t="s">
        <v>9385</v>
      </c>
      <c r="E1004" s="62" t="s">
        <v>13092</v>
      </c>
      <c r="F1004" s="61" t="s">
        <v>3080</v>
      </c>
      <c r="G1004" s="5"/>
      <c r="H1004" s="5"/>
      <c r="I1004" s="5"/>
      <c r="J1004" s="5"/>
    </row>
    <row r="1005" spans="1:10" ht="14.1" customHeight="1" thickBot="1" x14ac:dyDescent="0.25">
      <c r="A1005" s="83"/>
      <c r="B1005" s="62" t="s">
        <v>1786</v>
      </c>
      <c r="C1005" s="60">
        <f>IF(C1004="","",IF(AND(MONTH(C1004)&gt;=1,MONTH(C1004)&lt;=3),1,IF(AND(MONTH(C1004)&gt;=4,MONTH(C1004)&lt;=6),2,IF(AND(MONTH(C1004)&gt;=7,MONTH(C1004)&lt;=9),3,4))))</f>
        <v>2</v>
      </c>
      <c r="D1005" s="83"/>
      <c r="E1005" s="62" t="s">
        <v>2417</v>
      </c>
      <c r="F1005" s="61" t="s">
        <v>11111</v>
      </c>
      <c r="G1005" s="5"/>
      <c r="H1005" s="5"/>
      <c r="I1005" s="5"/>
      <c r="J1005" s="5"/>
    </row>
    <row r="1006" spans="1:10" ht="14.1" customHeight="1" thickBot="1" x14ac:dyDescent="0.25">
      <c r="A1006" s="83"/>
      <c r="B1006" s="62" t="s">
        <v>12941</v>
      </c>
      <c r="C1006" s="71">
        <v>44288</v>
      </c>
      <c r="D1006" s="83"/>
      <c r="E1006" s="62" t="s">
        <v>3073</v>
      </c>
      <c r="F1006" s="61" t="s">
        <v>11111</v>
      </c>
      <c r="G1006" s="5"/>
      <c r="H1006" s="5"/>
      <c r="I1006" s="5"/>
      <c r="J1006" s="5"/>
    </row>
    <row r="1007" spans="1:10" ht="14.1" customHeight="1" thickBot="1" x14ac:dyDescent="0.25">
      <c r="A1007" s="83"/>
      <c r="B1007" s="62" t="s">
        <v>1786</v>
      </c>
      <c r="C1007" s="60">
        <f>IF(C1006="","",IF(AND(MONTH(C1006)&gt;=1,MONTH(C1006)&lt;=3),1,IF(AND(MONTH(C1006)&gt;=4,MONTH(C1006)&lt;=6),2,IF(AND(MONTH(C1006)&gt;=7,MONTH(C1006)&lt;=9),3,4))))</f>
        <v>2</v>
      </c>
      <c r="D1007" s="83"/>
      <c r="E1007" s="62" t="s">
        <v>13191</v>
      </c>
      <c r="F1007" s="61" t="s">
        <v>11111</v>
      </c>
      <c r="G1007" s="5"/>
      <c r="H1007" s="5"/>
      <c r="I1007" s="5"/>
      <c r="J1007" s="5"/>
    </row>
    <row r="1008" spans="1:10" ht="14.1" customHeight="1" thickBot="1" x14ac:dyDescent="0.25">
      <c r="A1008" s="5"/>
      <c r="B1008" s="5"/>
      <c r="C1008" s="5"/>
      <c r="D1008" s="5"/>
      <c r="E1008" s="5"/>
      <c r="F1008" s="5"/>
      <c r="G1008" s="5"/>
      <c r="H1008" s="5"/>
      <c r="I1008" s="5"/>
      <c r="J1008" s="5"/>
    </row>
    <row r="1009" spans="1:10" ht="14.1" customHeight="1" thickBot="1" x14ac:dyDescent="0.25">
      <c r="A1009" s="67" t="s">
        <v>15735</v>
      </c>
      <c r="B1009" s="67" t="s">
        <v>16146</v>
      </c>
      <c r="C1009" s="67" t="s">
        <v>15641</v>
      </c>
      <c r="D1009" s="67" t="s">
        <v>15251</v>
      </c>
      <c r="E1009" s="67" t="s">
        <v>6932</v>
      </c>
      <c r="F1009" s="67" t="s">
        <v>15280</v>
      </c>
      <c r="G1009" s="5"/>
      <c r="H1009" s="5"/>
      <c r="I1009" s="5"/>
      <c r="J1009" s="5"/>
    </row>
    <row r="1010" spans="1:10" ht="13.5" customHeight="1" x14ac:dyDescent="0.2">
      <c r="A1010" s="63">
        <v>14111704</v>
      </c>
      <c r="B1010" s="64" t="str">
        <f ca="1">IFERROR(INDEX(UNSPSCDes,MATCH(INDIRECT(ADDRESS(ROW(),COLUMN()-1,4)),UNSPSCCode,0)),"")</f>
        <v>Papel higiénico</v>
      </c>
      <c r="C1010" s="63" t="s">
        <v>1449</v>
      </c>
      <c r="D1010" s="63">
        <v>1</v>
      </c>
      <c r="E1010" s="66">
        <v>81250</v>
      </c>
      <c r="F1010" s="65">
        <f ca="1">INDIRECT(ADDRESS(ROW(),COLUMN()-2,4))*INDIRECT(ADDRESS(ROW(),COLUMN()-1,4))</f>
        <v>81250</v>
      </c>
      <c r="G1010" s="5"/>
      <c r="H1010" s="5"/>
      <c r="I1010" s="5"/>
      <c r="J1010" s="5"/>
    </row>
    <row r="1011" spans="1:10" ht="14.1" customHeight="1" x14ac:dyDescent="0.2">
      <c r="A1011" s="5"/>
      <c r="B1011" s="5"/>
      <c r="C1011" s="5"/>
      <c r="D1011" s="5"/>
      <c r="E1011" s="68" t="s">
        <v>12549</v>
      </c>
      <c r="F1011" s="69">
        <f ca="1">SUM(Table391[MONTO TOTAL ESTIMADO])</f>
        <v>81250</v>
      </c>
      <c r="G1011" s="5"/>
      <c r="H1011" s="5" t="str">
        <f>C1003</f>
        <v>Bienes</v>
      </c>
      <c r="I1011" s="5" t="str">
        <f>E1003</f>
        <v>Sí</v>
      </c>
      <c r="J1011" s="5" t="str">
        <f>D1003</f>
        <v>Compras por debajo del Umbral</v>
      </c>
    </row>
    <row r="1012" spans="1:10" ht="14.1" customHeight="1" thickBot="1" x14ac:dyDescent="0.3"/>
    <row r="1013" spans="1:10" ht="33.75" customHeight="1" thickBot="1" x14ac:dyDescent="0.25">
      <c r="A1013" s="59" t="s">
        <v>16382</v>
      </c>
      <c r="B1013" s="59" t="s">
        <v>161</v>
      </c>
      <c r="C1013" s="59" t="s">
        <v>11723</v>
      </c>
      <c r="D1013" s="59" t="s">
        <v>14377</v>
      </c>
      <c r="E1013" s="59" t="s">
        <v>10961</v>
      </c>
      <c r="F1013" s="59" t="s">
        <v>11094</v>
      </c>
      <c r="G1013" s="5"/>
      <c r="H1013" s="5"/>
      <c r="I1013" s="5"/>
      <c r="J1013" s="5"/>
    </row>
    <row r="1014" spans="1:10" ht="14.1" customHeight="1" thickBot="1" x14ac:dyDescent="0.25">
      <c r="A1014" s="61" t="s">
        <v>18884</v>
      </c>
      <c r="B1014" s="61" t="s">
        <v>18884</v>
      </c>
      <c r="C1014" s="61" t="s">
        <v>17798</v>
      </c>
      <c r="D1014" s="61" t="s">
        <v>10170</v>
      </c>
      <c r="E1014" s="61" t="s">
        <v>8854</v>
      </c>
      <c r="F1014" s="61"/>
      <c r="G1014" s="5"/>
      <c r="H1014" s="5"/>
      <c r="I1014" s="5"/>
      <c r="J1014" s="5"/>
    </row>
    <row r="1015" spans="1:10" ht="14.1" customHeight="1" thickBot="1" x14ac:dyDescent="0.25">
      <c r="A1015" s="82" t="s">
        <v>14828</v>
      </c>
      <c r="B1015" s="62" t="s">
        <v>8528</v>
      </c>
      <c r="C1015" s="71">
        <v>44378</v>
      </c>
      <c r="D1015" s="82" t="s">
        <v>9385</v>
      </c>
      <c r="E1015" s="62" t="s">
        <v>13092</v>
      </c>
      <c r="F1015" s="61" t="s">
        <v>3080</v>
      </c>
      <c r="G1015" s="5"/>
      <c r="H1015" s="5"/>
      <c r="I1015" s="5"/>
      <c r="J1015" s="5"/>
    </row>
    <row r="1016" spans="1:10" ht="14.1" customHeight="1" thickBot="1" x14ac:dyDescent="0.25">
      <c r="A1016" s="83"/>
      <c r="B1016" s="62" t="s">
        <v>1786</v>
      </c>
      <c r="C1016" s="60">
        <f>IF(C1015="","",IF(AND(MONTH(C1015)&gt;=1,MONTH(C1015)&lt;=3),1,IF(AND(MONTH(C1015)&gt;=4,MONTH(C1015)&lt;=6),2,IF(AND(MONTH(C1015)&gt;=7,MONTH(C1015)&lt;=9),3,4))))</f>
        <v>3</v>
      </c>
      <c r="D1016" s="83"/>
      <c r="E1016" s="62" t="s">
        <v>2417</v>
      </c>
      <c r="F1016" s="61" t="s">
        <v>11111</v>
      </c>
      <c r="G1016" s="5"/>
      <c r="H1016" s="5"/>
      <c r="I1016" s="5"/>
      <c r="J1016" s="5"/>
    </row>
    <row r="1017" spans="1:10" ht="14.1" customHeight="1" thickBot="1" x14ac:dyDescent="0.25">
      <c r="A1017" s="83"/>
      <c r="B1017" s="62" t="s">
        <v>12941</v>
      </c>
      <c r="C1017" s="71">
        <v>44379</v>
      </c>
      <c r="D1017" s="83"/>
      <c r="E1017" s="62" t="s">
        <v>3073</v>
      </c>
      <c r="F1017" s="61" t="s">
        <v>11111</v>
      </c>
      <c r="G1017" s="5"/>
      <c r="H1017" s="5"/>
      <c r="I1017" s="5"/>
      <c r="J1017" s="5"/>
    </row>
    <row r="1018" spans="1:10" ht="14.1" customHeight="1" thickBot="1" x14ac:dyDescent="0.25">
      <c r="A1018" s="83"/>
      <c r="B1018" s="62" t="s">
        <v>1786</v>
      </c>
      <c r="C1018" s="60">
        <f>IF(C1017="","",IF(AND(MONTH(C1017)&gt;=1,MONTH(C1017)&lt;=3),1,IF(AND(MONTH(C1017)&gt;=4,MONTH(C1017)&lt;=6),2,IF(AND(MONTH(C1017)&gt;=7,MONTH(C1017)&lt;=9),3,4))))</f>
        <v>3</v>
      </c>
      <c r="D1018" s="83"/>
      <c r="E1018" s="62" t="s">
        <v>13191</v>
      </c>
      <c r="F1018" s="61" t="s">
        <v>11111</v>
      </c>
      <c r="G1018" s="5"/>
      <c r="H1018" s="5"/>
      <c r="I1018" s="5"/>
      <c r="J1018" s="5"/>
    </row>
    <row r="1019" spans="1:10" ht="14.1" customHeight="1" thickBot="1" x14ac:dyDescent="0.25">
      <c r="A1019" s="5"/>
      <c r="B1019" s="5"/>
      <c r="C1019" s="5"/>
      <c r="D1019" s="5"/>
      <c r="E1019" s="5"/>
      <c r="F1019" s="5"/>
      <c r="G1019" s="5"/>
      <c r="H1019" s="5"/>
      <c r="I1019" s="5"/>
      <c r="J1019" s="5"/>
    </row>
    <row r="1020" spans="1:10" ht="14.1" customHeight="1" thickBot="1" x14ac:dyDescent="0.25">
      <c r="A1020" s="67" t="s">
        <v>15735</v>
      </c>
      <c r="B1020" s="67" t="s">
        <v>16146</v>
      </c>
      <c r="C1020" s="67" t="s">
        <v>15641</v>
      </c>
      <c r="D1020" s="67" t="s">
        <v>15251</v>
      </c>
      <c r="E1020" s="67" t="s">
        <v>6932</v>
      </c>
      <c r="F1020" s="67" t="s">
        <v>15280</v>
      </c>
      <c r="G1020" s="5"/>
      <c r="H1020" s="5"/>
      <c r="I1020" s="5"/>
      <c r="J1020" s="5"/>
    </row>
    <row r="1021" spans="1:10" ht="13.5" customHeight="1" x14ac:dyDescent="0.2">
      <c r="A1021" s="63">
        <v>14111704</v>
      </c>
      <c r="B1021" s="64" t="str">
        <f ca="1">IFERROR(INDEX(UNSPSCDes,MATCH(INDIRECT(ADDRESS(ROW(),COLUMN()-1,4)),UNSPSCCode,0)),"")</f>
        <v>Papel higiénico</v>
      </c>
      <c r="C1021" s="63" t="s">
        <v>1449</v>
      </c>
      <c r="D1021" s="63">
        <v>1</v>
      </c>
      <c r="E1021" s="66">
        <v>81250</v>
      </c>
      <c r="F1021" s="65">
        <f ca="1">INDIRECT(ADDRESS(ROW(),COLUMN()-2,4))*INDIRECT(ADDRESS(ROW(),COLUMN()-1,4))</f>
        <v>81250</v>
      </c>
      <c r="G1021" s="5"/>
      <c r="H1021" s="5"/>
      <c r="I1021" s="5"/>
      <c r="J1021" s="5"/>
    </row>
    <row r="1022" spans="1:10" ht="14.1" customHeight="1" x14ac:dyDescent="0.2">
      <c r="A1022" s="5"/>
      <c r="B1022" s="5"/>
      <c r="C1022" s="5"/>
      <c r="D1022" s="5"/>
      <c r="E1022" s="68" t="s">
        <v>12549</v>
      </c>
      <c r="F1022" s="69">
        <f ca="1">SUM(Table392[MONTO TOTAL ESTIMADO])</f>
        <v>81250</v>
      </c>
      <c r="G1022" s="5"/>
      <c r="H1022" s="5" t="str">
        <f>C1014</f>
        <v>Bienes</v>
      </c>
      <c r="I1022" s="5" t="str">
        <f>E1014</f>
        <v>Sí</v>
      </c>
      <c r="J1022" s="5" t="str">
        <f>D1014</f>
        <v>Compras por debajo del Umbral</v>
      </c>
    </row>
    <row r="1023" spans="1:10" ht="14.1" customHeight="1" thickBot="1" x14ac:dyDescent="0.3"/>
    <row r="1024" spans="1:10" ht="33.75" customHeight="1" thickBot="1" x14ac:dyDescent="0.25">
      <c r="A1024" s="59" t="s">
        <v>16382</v>
      </c>
      <c r="B1024" s="59" t="s">
        <v>161</v>
      </c>
      <c r="C1024" s="59" t="s">
        <v>11723</v>
      </c>
      <c r="D1024" s="59" t="s">
        <v>14377</v>
      </c>
      <c r="E1024" s="59" t="s">
        <v>10961</v>
      </c>
      <c r="F1024" s="59" t="s">
        <v>11094</v>
      </c>
      <c r="G1024" s="5"/>
      <c r="H1024" s="5"/>
      <c r="I1024" s="5"/>
      <c r="J1024" s="5"/>
    </row>
    <row r="1025" spans="1:10" ht="14.1" customHeight="1" thickBot="1" x14ac:dyDescent="0.25">
      <c r="A1025" s="61" t="s">
        <v>18884</v>
      </c>
      <c r="B1025" s="61" t="s">
        <v>18884</v>
      </c>
      <c r="C1025" s="61" t="s">
        <v>17798</v>
      </c>
      <c r="D1025" s="61" t="s">
        <v>10170</v>
      </c>
      <c r="E1025" s="61" t="s">
        <v>8854</v>
      </c>
      <c r="F1025" s="61"/>
      <c r="G1025" s="5"/>
      <c r="H1025" s="5"/>
      <c r="I1025" s="5"/>
      <c r="J1025" s="5"/>
    </row>
    <row r="1026" spans="1:10" ht="14.1" customHeight="1" thickBot="1" x14ac:dyDescent="0.25">
      <c r="A1026" s="82" t="s">
        <v>14828</v>
      </c>
      <c r="B1026" s="62" t="s">
        <v>8528</v>
      </c>
      <c r="C1026" s="71">
        <v>44470</v>
      </c>
      <c r="D1026" s="82" t="s">
        <v>9385</v>
      </c>
      <c r="E1026" s="62" t="s">
        <v>13092</v>
      </c>
      <c r="F1026" s="61" t="s">
        <v>3080</v>
      </c>
      <c r="G1026" s="5"/>
      <c r="H1026" s="5"/>
      <c r="I1026" s="5"/>
      <c r="J1026" s="5"/>
    </row>
    <row r="1027" spans="1:10" ht="14.1" customHeight="1" thickBot="1" x14ac:dyDescent="0.25">
      <c r="A1027" s="83"/>
      <c r="B1027" s="62" t="s">
        <v>1786</v>
      </c>
      <c r="C1027" s="60">
        <f>IF(C1026="","",IF(AND(MONTH(C1026)&gt;=1,MONTH(C1026)&lt;=3),1,IF(AND(MONTH(C1026)&gt;=4,MONTH(C1026)&lt;=6),2,IF(AND(MONTH(C1026)&gt;=7,MONTH(C1026)&lt;=9),3,4))))</f>
        <v>4</v>
      </c>
      <c r="D1027" s="83"/>
      <c r="E1027" s="62" t="s">
        <v>2417</v>
      </c>
      <c r="F1027" s="61" t="s">
        <v>11111</v>
      </c>
      <c r="G1027" s="5"/>
      <c r="H1027" s="5"/>
      <c r="I1027" s="5"/>
      <c r="J1027" s="5"/>
    </row>
    <row r="1028" spans="1:10" ht="14.1" customHeight="1" thickBot="1" x14ac:dyDescent="0.25">
      <c r="A1028" s="83"/>
      <c r="B1028" s="62" t="s">
        <v>12941</v>
      </c>
      <c r="C1028" s="71">
        <v>44473</v>
      </c>
      <c r="D1028" s="83"/>
      <c r="E1028" s="62" t="s">
        <v>3073</v>
      </c>
      <c r="F1028" s="61" t="s">
        <v>11111</v>
      </c>
      <c r="G1028" s="5"/>
      <c r="H1028" s="5"/>
      <c r="I1028" s="5"/>
      <c r="J1028" s="5"/>
    </row>
    <row r="1029" spans="1:10" ht="14.1" customHeight="1" thickBot="1" x14ac:dyDescent="0.25">
      <c r="A1029" s="83"/>
      <c r="B1029" s="62" t="s">
        <v>1786</v>
      </c>
      <c r="C1029" s="60">
        <f>IF(C1028="","",IF(AND(MONTH(C1028)&gt;=1,MONTH(C1028)&lt;=3),1,IF(AND(MONTH(C1028)&gt;=4,MONTH(C1028)&lt;=6),2,IF(AND(MONTH(C1028)&gt;=7,MONTH(C1028)&lt;=9),3,4))))</f>
        <v>4</v>
      </c>
      <c r="D1029" s="83"/>
      <c r="E1029" s="62" t="s">
        <v>13191</v>
      </c>
      <c r="F1029" s="61" t="s">
        <v>11111</v>
      </c>
      <c r="G1029" s="5"/>
      <c r="H1029" s="5"/>
      <c r="I1029" s="5"/>
      <c r="J1029" s="5"/>
    </row>
    <row r="1030" spans="1:10" ht="14.1" customHeight="1" thickBot="1" x14ac:dyDescent="0.25">
      <c r="A1030" s="5"/>
      <c r="B1030" s="5"/>
      <c r="C1030" s="5"/>
      <c r="D1030" s="5"/>
      <c r="E1030" s="5"/>
      <c r="F1030" s="5"/>
      <c r="G1030" s="5"/>
      <c r="H1030" s="5"/>
      <c r="I1030" s="5"/>
      <c r="J1030" s="5"/>
    </row>
    <row r="1031" spans="1:10" ht="14.1" customHeight="1" thickBot="1" x14ac:dyDescent="0.25">
      <c r="A1031" s="67" t="s">
        <v>15735</v>
      </c>
      <c r="B1031" s="67" t="s">
        <v>16146</v>
      </c>
      <c r="C1031" s="67" t="s">
        <v>15641</v>
      </c>
      <c r="D1031" s="67" t="s">
        <v>15251</v>
      </c>
      <c r="E1031" s="67" t="s">
        <v>6932</v>
      </c>
      <c r="F1031" s="67" t="s">
        <v>15280</v>
      </c>
      <c r="G1031" s="5"/>
      <c r="H1031" s="5"/>
      <c r="I1031" s="5"/>
      <c r="J1031" s="5"/>
    </row>
    <row r="1032" spans="1:10" ht="13.5" customHeight="1" x14ac:dyDescent="0.2">
      <c r="A1032" s="63">
        <v>14111704</v>
      </c>
      <c r="B1032" s="64" t="str">
        <f ca="1">IFERROR(INDEX(UNSPSCDes,MATCH(INDIRECT(ADDRESS(ROW(),COLUMN()-1,4)),UNSPSCCode,0)),"")</f>
        <v>Papel higiénico</v>
      </c>
      <c r="C1032" s="63" t="s">
        <v>1449</v>
      </c>
      <c r="D1032" s="63">
        <v>1</v>
      </c>
      <c r="E1032" s="66">
        <v>81250</v>
      </c>
      <c r="F1032" s="65">
        <f ca="1">INDIRECT(ADDRESS(ROW(),COLUMN()-2,4))*INDIRECT(ADDRESS(ROW(),COLUMN()-1,4))</f>
        <v>81250</v>
      </c>
      <c r="G1032" s="5"/>
      <c r="H1032" s="5"/>
      <c r="I1032" s="5"/>
      <c r="J1032" s="5"/>
    </row>
    <row r="1033" spans="1:10" ht="14.1" customHeight="1" x14ac:dyDescent="0.2">
      <c r="A1033" s="5"/>
      <c r="B1033" s="5"/>
      <c r="C1033" s="5"/>
      <c r="D1033" s="5"/>
      <c r="E1033" s="68" t="s">
        <v>12549</v>
      </c>
      <c r="F1033" s="69">
        <f ca="1">SUM(Table393[MONTO TOTAL ESTIMADO])</f>
        <v>81250</v>
      </c>
      <c r="G1033" s="5"/>
      <c r="H1033" s="5" t="str">
        <f>C1025</f>
        <v>Bienes</v>
      </c>
      <c r="I1033" s="5" t="str">
        <f>E1025</f>
        <v>Sí</v>
      </c>
      <c r="J1033" s="5" t="str">
        <f>D1025</f>
        <v>Compras por debajo del Umbral</v>
      </c>
    </row>
    <row r="1034" spans="1:10" ht="14.1" customHeight="1" thickBot="1" x14ac:dyDescent="0.3"/>
    <row r="1035" spans="1:10" ht="33.75" customHeight="1" thickBot="1" x14ac:dyDescent="0.25">
      <c r="A1035" s="59" t="s">
        <v>16382</v>
      </c>
      <c r="B1035" s="59" t="s">
        <v>161</v>
      </c>
      <c r="C1035" s="59" t="s">
        <v>11723</v>
      </c>
      <c r="D1035" s="59" t="s">
        <v>14377</v>
      </c>
      <c r="E1035" s="59" t="s">
        <v>10961</v>
      </c>
      <c r="F1035" s="59" t="s">
        <v>11094</v>
      </c>
      <c r="G1035" s="5"/>
      <c r="H1035" s="5"/>
      <c r="I1035" s="5"/>
      <c r="J1035" s="5"/>
    </row>
    <row r="1036" spans="1:10" ht="13.5" customHeight="1" thickBot="1" x14ac:dyDescent="0.25">
      <c r="A1036" s="61" t="s">
        <v>18885</v>
      </c>
      <c r="B1036" s="61" t="s">
        <v>18886</v>
      </c>
      <c r="C1036" s="61" t="s">
        <v>17798</v>
      </c>
      <c r="D1036" s="61" t="s">
        <v>17483</v>
      </c>
      <c r="E1036" s="61" t="s">
        <v>8854</v>
      </c>
      <c r="F1036" s="61"/>
      <c r="G1036" s="5"/>
      <c r="H1036" s="5"/>
      <c r="I1036" s="5"/>
      <c r="J1036" s="5"/>
    </row>
    <row r="1037" spans="1:10" ht="14.1" customHeight="1" thickBot="1" x14ac:dyDescent="0.25">
      <c r="A1037" s="82" t="s">
        <v>14828</v>
      </c>
      <c r="B1037" s="62" t="s">
        <v>8528</v>
      </c>
      <c r="C1037" s="71">
        <v>44197</v>
      </c>
      <c r="D1037" s="82" t="s">
        <v>9385</v>
      </c>
      <c r="E1037" s="62" t="s">
        <v>13092</v>
      </c>
      <c r="F1037" s="61" t="s">
        <v>3080</v>
      </c>
      <c r="G1037" s="5"/>
      <c r="H1037" s="5"/>
      <c r="I1037" s="5"/>
      <c r="J1037" s="5"/>
    </row>
    <row r="1038" spans="1:10" ht="14.1" customHeight="1" thickBot="1" x14ac:dyDescent="0.25">
      <c r="A1038" s="83"/>
      <c r="B1038" s="62" t="s">
        <v>1786</v>
      </c>
      <c r="C1038" s="60">
        <f>IF(C1037="","",IF(AND(MONTH(C1037)&gt;=1,MONTH(C1037)&lt;=3),1,IF(AND(MONTH(C1037)&gt;=4,MONTH(C1037)&lt;=6),2,IF(AND(MONTH(C1037)&gt;=7,MONTH(C1037)&lt;=9),3,4))))</f>
        <v>1</v>
      </c>
      <c r="D1038" s="83"/>
      <c r="E1038" s="62" t="s">
        <v>2417</v>
      </c>
      <c r="F1038" s="61" t="s">
        <v>11111</v>
      </c>
      <c r="G1038" s="5"/>
      <c r="H1038" s="5"/>
      <c r="I1038" s="5"/>
      <c r="J1038" s="5"/>
    </row>
    <row r="1039" spans="1:10" ht="14.1" customHeight="1" thickBot="1" x14ac:dyDescent="0.25">
      <c r="A1039" s="83"/>
      <c r="B1039" s="62" t="s">
        <v>12941</v>
      </c>
      <c r="C1039" s="71">
        <v>44392</v>
      </c>
      <c r="D1039" s="83"/>
      <c r="E1039" s="62" t="s">
        <v>3073</v>
      </c>
      <c r="F1039" s="61" t="s">
        <v>11111</v>
      </c>
      <c r="G1039" s="5"/>
      <c r="H1039" s="5"/>
      <c r="I1039" s="5"/>
      <c r="J1039" s="5"/>
    </row>
    <row r="1040" spans="1:10" ht="14.1" customHeight="1" thickBot="1" x14ac:dyDescent="0.25">
      <c r="A1040" s="83"/>
      <c r="B1040" s="62" t="s">
        <v>1786</v>
      </c>
      <c r="C1040" s="60">
        <f>IF(C1039="","",IF(AND(MONTH(C1039)&gt;=1,MONTH(C1039)&lt;=3),1,IF(AND(MONTH(C1039)&gt;=4,MONTH(C1039)&lt;=6),2,IF(AND(MONTH(C1039)&gt;=7,MONTH(C1039)&lt;=9),3,4))))</f>
        <v>3</v>
      </c>
      <c r="D1040" s="83"/>
      <c r="E1040" s="62" t="s">
        <v>13191</v>
      </c>
      <c r="F1040" s="61" t="s">
        <v>11111</v>
      </c>
      <c r="G1040" s="5"/>
      <c r="H1040" s="5"/>
      <c r="I1040" s="5"/>
      <c r="J1040" s="5"/>
    </row>
    <row r="1041" spans="1:10" ht="14.1" customHeight="1" thickBot="1" x14ac:dyDescent="0.25">
      <c r="A1041" s="5"/>
      <c r="B1041" s="5"/>
      <c r="C1041" s="5"/>
      <c r="D1041" s="5"/>
      <c r="E1041" s="5"/>
      <c r="F1041" s="5"/>
      <c r="G1041" s="5"/>
      <c r="H1041" s="5"/>
      <c r="I1041" s="5"/>
      <c r="J1041" s="5"/>
    </row>
    <row r="1042" spans="1:10" ht="14.1" customHeight="1" thickBot="1" x14ac:dyDescent="0.25">
      <c r="A1042" s="67" t="s">
        <v>15735</v>
      </c>
      <c r="B1042" s="67" t="s">
        <v>16146</v>
      </c>
      <c r="C1042" s="67" t="s">
        <v>15641</v>
      </c>
      <c r="D1042" s="67" t="s">
        <v>15251</v>
      </c>
      <c r="E1042" s="67" t="s">
        <v>6932</v>
      </c>
      <c r="F1042" s="67" t="s">
        <v>15280</v>
      </c>
      <c r="G1042" s="5"/>
      <c r="H1042" s="5"/>
      <c r="I1042" s="5"/>
      <c r="J1042" s="5"/>
    </row>
    <row r="1043" spans="1:10" ht="13.5" customHeight="1" x14ac:dyDescent="0.2">
      <c r="A1043" s="77">
        <v>55121718</v>
      </c>
      <c r="B1043" s="64" t="str">
        <f ca="1">IFERROR(INDEX(UNSPSCDes,MATCH(INDIRECT(ADDRESS(ROW(),COLUMN()-1,4)),UNSPSCCode,0)),"")</f>
        <v>Señales informativas</v>
      </c>
      <c r="C1043" s="63" t="s">
        <v>1449</v>
      </c>
      <c r="D1043" s="63">
        <v>1</v>
      </c>
      <c r="E1043" s="66">
        <v>180000</v>
      </c>
      <c r="F1043" s="65">
        <f ca="1">INDIRECT(ADDRESS(ROW(),COLUMN()-2,4))*INDIRECT(ADDRESS(ROW(),COLUMN()-1,4))</f>
        <v>180000</v>
      </c>
      <c r="G1043" s="5"/>
      <c r="H1043" s="5"/>
      <c r="I1043" s="5"/>
      <c r="J1043" s="5"/>
    </row>
    <row r="1044" spans="1:10" ht="14.1" customHeight="1" x14ac:dyDescent="0.2">
      <c r="A1044" s="5"/>
      <c r="B1044" s="5"/>
      <c r="C1044" s="5"/>
      <c r="D1044" s="5"/>
      <c r="E1044" s="68" t="s">
        <v>12549</v>
      </c>
      <c r="F1044" s="69">
        <f ca="1">SUM(Table394[MONTO TOTAL ESTIMADO])</f>
        <v>180000</v>
      </c>
      <c r="G1044" s="5"/>
      <c r="H1044" s="5" t="str">
        <f>C1036</f>
        <v>Bienes</v>
      </c>
      <c r="I1044" s="5" t="str">
        <f>E1036</f>
        <v>Sí</v>
      </c>
      <c r="J1044" s="5" t="str">
        <f>D1036</f>
        <v>Compras Menores</v>
      </c>
    </row>
    <row r="1045" spans="1:10" ht="14.1" customHeight="1" thickBot="1" x14ac:dyDescent="0.3"/>
    <row r="1046" spans="1:10" ht="33.75" customHeight="1" thickBot="1" x14ac:dyDescent="0.25">
      <c r="A1046" s="59" t="s">
        <v>16382</v>
      </c>
      <c r="B1046" s="59" t="s">
        <v>161</v>
      </c>
      <c r="C1046" s="59" t="s">
        <v>11723</v>
      </c>
      <c r="D1046" s="59" t="s">
        <v>14377</v>
      </c>
      <c r="E1046" s="59" t="s">
        <v>10961</v>
      </c>
      <c r="F1046" s="59" t="s">
        <v>11094</v>
      </c>
      <c r="G1046" s="5"/>
      <c r="H1046" s="5"/>
      <c r="I1046" s="5"/>
      <c r="J1046" s="5"/>
    </row>
    <row r="1047" spans="1:10" ht="14.1" customHeight="1" thickBot="1" x14ac:dyDescent="0.25">
      <c r="A1047" s="61" t="s">
        <v>18887</v>
      </c>
      <c r="B1047" s="61" t="s">
        <v>18888</v>
      </c>
      <c r="C1047" s="61" t="s">
        <v>6798</v>
      </c>
      <c r="D1047" s="61" t="s">
        <v>10170</v>
      </c>
      <c r="E1047" s="61" t="s">
        <v>17854</v>
      </c>
      <c r="F1047" s="61"/>
      <c r="G1047" s="5"/>
      <c r="H1047" s="5"/>
      <c r="I1047" s="5"/>
      <c r="J1047" s="5"/>
    </row>
    <row r="1048" spans="1:10" ht="14.1" customHeight="1" thickBot="1" x14ac:dyDescent="0.25">
      <c r="A1048" s="82" t="s">
        <v>14828</v>
      </c>
      <c r="B1048" s="62" t="s">
        <v>8528</v>
      </c>
      <c r="C1048" s="71">
        <v>44287</v>
      </c>
      <c r="D1048" s="82" t="s">
        <v>9385</v>
      </c>
      <c r="E1048" s="62" t="s">
        <v>13092</v>
      </c>
      <c r="F1048" s="61" t="s">
        <v>3080</v>
      </c>
      <c r="G1048" s="5"/>
      <c r="H1048" s="5"/>
      <c r="I1048" s="5"/>
      <c r="J1048" s="5"/>
    </row>
    <row r="1049" spans="1:10" ht="14.1" customHeight="1" thickBot="1" x14ac:dyDescent="0.25">
      <c r="A1049" s="83"/>
      <c r="B1049" s="62" t="s">
        <v>1786</v>
      </c>
      <c r="C1049" s="60">
        <f>IF(C1048="","",IF(AND(MONTH(C1048)&gt;=1,MONTH(C1048)&lt;=3),1,IF(AND(MONTH(C1048)&gt;=4,MONTH(C1048)&lt;=6),2,IF(AND(MONTH(C1048)&gt;=7,MONTH(C1048)&lt;=9),3,4))))</f>
        <v>2</v>
      </c>
      <c r="D1049" s="83"/>
      <c r="E1049" s="62" t="s">
        <v>2417</v>
      </c>
      <c r="F1049" s="61" t="s">
        <v>11111</v>
      </c>
      <c r="G1049" s="5"/>
      <c r="H1049" s="5"/>
      <c r="I1049" s="5"/>
      <c r="J1049" s="5"/>
    </row>
    <row r="1050" spans="1:10" ht="14.1" customHeight="1" thickBot="1" x14ac:dyDescent="0.25">
      <c r="A1050" s="83"/>
      <c r="B1050" s="62" t="s">
        <v>12941</v>
      </c>
      <c r="C1050" s="71">
        <v>44288</v>
      </c>
      <c r="D1050" s="83"/>
      <c r="E1050" s="62" t="s">
        <v>3073</v>
      </c>
      <c r="F1050" s="61" t="s">
        <v>11111</v>
      </c>
      <c r="G1050" s="5"/>
      <c r="H1050" s="5"/>
      <c r="I1050" s="5"/>
      <c r="J1050" s="5"/>
    </row>
    <row r="1051" spans="1:10" ht="14.1" customHeight="1" thickBot="1" x14ac:dyDescent="0.25">
      <c r="A1051" s="83"/>
      <c r="B1051" s="62" t="s">
        <v>1786</v>
      </c>
      <c r="C1051" s="60">
        <f>IF(C1050="","",IF(AND(MONTH(C1050)&gt;=1,MONTH(C1050)&lt;=3),1,IF(AND(MONTH(C1050)&gt;=4,MONTH(C1050)&lt;=6),2,IF(AND(MONTH(C1050)&gt;=7,MONTH(C1050)&lt;=9),3,4))))</f>
        <v>2</v>
      </c>
      <c r="D1051" s="83"/>
      <c r="E1051" s="62" t="s">
        <v>13191</v>
      </c>
      <c r="F1051" s="61" t="s">
        <v>11111</v>
      </c>
      <c r="G1051" s="5"/>
      <c r="H1051" s="5"/>
      <c r="I1051" s="5"/>
      <c r="J1051" s="5"/>
    </row>
    <row r="1052" spans="1:10" ht="14.1" customHeight="1" thickBot="1" x14ac:dyDescent="0.25">
      <c r="A1052" s="5"/>
      <c r="B1052" s="5"/>
      <c r="C1052" s="5"/>
      <c r="D1052" s="5"/>
      <c r="E1052" s="5"/>
      <c r="F1052" s="5"/>
      <c r="G1052" s="5"/>
      <c r="H1052" s="5"/>
      <c r="I1052" s="5"/>
      <c r="J1052" s="5"/>
    </row>
    <row r="1053" spans="1:10" ht="14.1" customHeight="1" thickBot="1" x14ac:dyDescent="0.25">
      <c r="A1053" s="67" t="s">
        <v>15735</v>
      </c>
      <c r="B1053" s="67" t="s">
        <v>16146</v>
      </c>
      <c r="C1053" s="67" t="s">
        <v>15641</v>
      </c>
      <c r="D1053" s="67" t="s">
        <v>15251</v>
      </c>
      <c r="E1053" s="67" t="s">
        <v>6932</v>
      </c>
      <c r="F1053" s="67" t="s">
        <v>15280</v>
      </c>
      <c r="G1053" s="5"/>
      <c r="H1053" s="5"/>
      <c r="I1053" s="5"/>
      <c r="J1053" s="5"/>
    </row>
    <row r="1054" spans="1:10" ht="13.5" customHeight="1" x14ac:dyDescent="0.2">
      <c r="A1054" s="63">
        <v>55101504</v>
      </c>
      <c r="B1054" s="64" t="str">
        <f ca="1">IFERROR(INDEX(UNSPSCDes,MATCH(INDIRECT(ADDRESS(ROW(),COLUMN()-1,4)),UNSPSCCode,0)),"")</f>
        <v>Periódicos</v>
      </c>
      <c r="C1054" s="63" t="s">
        <v>1449</v>
      </c>
      <c r="D1054" s="63">
        <v>1</v>
      </c>
      <c r="E1054" s="66">
        <v>25000</v>
      </c>
      <c r="F1054" s="65">
        <f ca="1">INDIRECT(ADDRESS(ROW(),COLUMN()-2,4))*INDIRECT(ADDRESS(ROW(),COLUMN()-1,4))</f>
        <v>25000</v>
      </c>
      <c r="G1054" s="5"/>
      <c r="H1054" s="5"/>
      <c r="I1054" s="5"/>
      <c r="J1054" s="5"/>
    </row>
    <row r="1055" spans="1:10" ht="14.1" customHeight="1" x14ac:dyDescent="0.2">
      <c r="A1055" s="5"/>
      <c r="B1055" s="5"/>
      <c r="C1055" s="5"/>
      <c r="D1055" s="5"/>
      <c r="E1055" s="68" t="s">
        <v>12549</v>
      </c>
      <c r="F1055" s="69">
        <f ca="1">SUM(Table396[MONTO TOTAL ESTIMADO])</f>
        <v>25000</v>
      </c>
      <c r="G1055" s="5"/>
      <c r="H1055" s="5" t="str">
        <f>C1047</f>
        <v>Servicios</v>
      </c>
      <c r="I1055" s="5" t="str">
        <f>E1047</f>
        <v>No</v>
      </c>
      <c r="J1055" s="5" t="str">
        <f>D1047</f>
        <v>Compras por debajo del Umbral</v>
      </c>
    </row>
    <row r="1056" spans="1:10" ht="14.1" customHeight="1" thickBot="1" x14ac:dyDescent="0.3"/>
    <row r="1057" spans="1:10" ht="33.75" customHeight="1" thickBot="1" x14ac:dyDescent="0.25">
      <c r="A1057" s="59" t="s">
        <v>16382</v>
      </c>
      <c r="B1057" s="59" t="s">
        <v>161</v>
      </c>
      <c r="C1057" s="59" t="s">
        <v>11723</v>
      </c>
      <c r="D1057" s="59" t="s">
        <v>14377</v>
      </c>
      <c r="E1057" s="59" t="s">
        <v>10961</v>
      </c>
      <c r="F1057" s="59" t="s">
        <v>11094</v>
      </c>
      <c r="G1057" s="5"/>
      <c r="H1057" s="5"/>
      <c r="I1057" s="5"/>
      <c r="J1057" s="5"/>
    </row>
    <row r="1058" spans="1:10" ht="14.1" customHeight="1" thickBot="1" x14ac:dyDescent="0.25">
      <c r="A1058" s="61" t="s">
        <v>18887</v>
      </c>
      <c r="B1058" s="61" t="s">
        <v>18888</v>
      </c>
      <c r="C1058" s="61" t="s">
        <v>6798</v>
      </c>
      <c r="D1058" s="61" t="s">
        <v>10170</v>
      </c>
      <c r="E1058" s="61" t="s">
        <v>17854</v>
      </c>
      <c r="F1058" s="61"/>
      <c r="G1058" s="5"/>
      <c r="H1058" s="5"/>
      <c r="I1058" s="5"/>
      <c r="J1058" s="5"/>
    </row>
    <row r="1059" spans="1:10" ht="14.1" customHeight="1" thickBot="1" x14ac:dyDescent="0.25">
      <c r="A1059" s="82" t="s">
        <v>14828</v>
      </c>
      <c r="B1059" s="62" t="s">
        <v>8528</v>
      </c>
      <c r="C1059" s="71">
        <v>44378</v>
      </c>
      <c r="D1059" s="82" t="s">
        <v>9385</v>
      </c>
      <c r="E1059" s="62" t="s">
        <v>13092</v>
      </c>
      <c r="F1059" s="61" t="s">
        <v>3080</v>
      </c>
      <c r="G1059" s="5"/>
      <c r="H1059" s="5"/>
      <c r="I1059" s="5"/>
      <c r="J1059" s="5"/>
    </row>
    <row r="1060" spans="1:10" ht="14.1" customHeight="1" thickBot="1" x14ac:dyDescent="0.25">
      <c r="A1060" s="83"/>
      <c r="B1060" s="62" t="s">
        <v>1786</v>
      </c>
      <c r="C1060" s="60">
        <f>IF(C1059="","",IF(AND(MONTH(C1059)&gt;=1,MONTH(C1059)&lt;=3),1,IF(AND(MONTH(C1059)&gt;=4,MONTH(C1059)&lt;=6),2,IF(AND(MONTH(C1059)&gt;=7,MONTH(C1059)&lt;=9),3,4))))</f>
        <v>3</v>
      </c>
      <c r="D1060" s="83"/>
      <c r="E1060" s="62" t="s">
        <v>2417</v>
      </c>
      <c r="F1060" s="61" t="s">
        <v>11111</v>
      </c>
      <c r="G1060" s="5"/>
      <c r="H1060" s="5"/>
      <c r="I1060" s="5"/>
      <c r="J1060" s="5"/>
    </row>
    <row r="1061" spans="1:10" ht="14.1" customHeight="1" thickBot="1" x14ac:dyDescent="0.25">
      <c r="A1061" s="83"/>
      <c r="B1061" s="62" t="s">
        <v>12941</v>
      </c>
      <c r="C1061" s="71">
        <v>44379</v>
      </c>
      <c r="D1061" s="83"/>
      <c r="E1061" s="62" t="s">
        <v>3073</v>
      </c>
      <c r="F1061" s="61" t="s">
        <v>11111</v>
      </c>
      <c r="G1061" s="5"/>
      <c r="H1061" s="5"/>
      <c r="I1061" s="5"/>
      <c r="J1061" s="5"/>
    </row>
    <row r="1062" spans="1:10" ht="14.1" customHeight="1" thickBot="1" x14ac:dyDescent="0.25">
      <c r="A1062" s="83"/>
      <c r="B1062" s="62" t="s">
        <v>1786</v>
      </c>
      <c r="C1062" s="60">
        <f>IF(C1061="","",IF(AND(MONTH(C1061)&gt;=1,MONTH(C1061)&lt;=3),1,IF(AND(MONTH(C1061)&gt;=4,MONTH(C1061)&lt;=6),2,IF(AND(MONTH(C1061)&gt;=7,MONTH(C1061)&lt;=9),3,4))))</f>
        <v>3</v>
      </c>
      <c r="D1062" s="83"/>
      <c r="E1062" s="62" t="s">
        <v>13191</v>
      </c>
      <c r="F1062" s="61" t="s">
        <v>11111</v>
      </c>
      <c r="G1062" s="5"/>
      <c r="H1062" s="5"/>
      <c r="I1062" s="5"/>
      <c r="J1062" s="5"/>
    </row>
    <row r="1063" spans="1:10" ht="14.1" customHeight="1" thickBot="1" x14ac:dyDescent="0.25">
      <c r="A1063" s="5"/>
      <c r="B1063" s="5"/>
      <c r="C1063" s="5"/>
      <c r="D1063" s="5"/>
      <c r="E1063" s="5"/>
      <c r="F1063" s="5"/>
      <c r="G1063" s="5"/>
      <c r="H1063" s="5"/>
      <c r="I1063" s="5"/>
      <c r="J1063" s="5"/>
    </row>
    <row r="1064" spans="1:10" ht="14.1" customHeight="1" thickBot="1" x14ac:dyDescent="0.25">
      <c r="A1064" s="67" t="s">
        <v>15735</v>
      </c>
      <c r="B1064" s="67" t="s">
        <v>16146</v>
      </c>
      <c r="C1064" s="67" t="s">
        <v>15641</v>
      </c>
      <c r="D1064" s="67" t="s">
        <v>15251</v>
      </c>
      <c r="E1064" s="67" t="s">
        <v>6932</v>
      </c>
      <c r="F1064" s="67" t="s">
        <v>15280</v>
      </c>
      <c r="G1064" s="5"/>
      <c r="H1064" s="5"/>
      <c r="I1064" s="5"/>
      <c r="J1064" s="5"/>
    </row>
    <row r="1065" spans="1:10" ht="13.5" customHeight="1" x14ac:dyDescent="0.2">
      <c r="A1065" s="63">
        <v>55101504</v>
      </c>
      <c r="B1065" s="64" t="str">
        <f ca="1">IFERROR(INDEX(UNSPSCDes,MATCH(INDIRECT(ADDRESS(ROW(),COLUMN()-1,4)),UNSPSCCode,0)),"")</f>
        <v>Periódicos</v>
      </c>
      <c r="C1065" s="63" t="s">
        <v>1449</v>
      </c>
      <c r="D1065" s="63">
        <v>1</v>
      </c>
      <c r="E1065" s="66">
        <v>25000</v>
      </c>
      <c r="F1065" s="65">
        <f ca="1">INDIRECT(ADDRESS(ROW(),COLUMN()-2,4))*INDIRECT(ADDRESS(ROW(),COLUMN()-1,4))</f>
        <v>25000</v>
      </c>
      <c r="G1065" s="5"/>
      <c r="H1065" s="5"/>
      <c r="I1065" s="5"/>
      <c r="J1065" s="5"/>
    </row>
    <row r="1066" spans="1:10" ht="14.1" customHeight="1" x14ac:dyDescent="0.2">
      <c r="A1066" s="5"/>
      <c r="B1066" s="5"/>
      <c r="C1066" s="5"/>
      <c r="D1066" s="5"/>
      <c r="E1066" s="68" t="s">
        <v>12549</v>
      </c>
      <c r="F1066" s="69">
        <f ca="1">SUM(Table397[MONTO TOTAL ESTIMADO])</f>
        <v>25000</v>
      </c>
      <c r="G1066" s="5"/>
      <c r="H1066" s="5" t="str">
        <f>C1058</f>
        <v>Servicios</v>
      </c>
      <c r="I1066" s="5" t="str">
        <f>E1058</f>
        <v>No</v>
      </c>
      <c r="J1066" s="5" t="str">
        <f>D1058</f>
        <v>Compras por debajo del Umbral</v>
      </c>
    </row>
    <row r="1067" spans="1:10" ht="14.1" customHeight="1" thickBot="1" x14ac:dyDescent="0.3"/>
    <row r="1068" spans="1:10" ht="33.75" customHeight="1" thickBot="1" x14ac:dyDescent="0.25">
      <c r="A1068" s="59" t="s">
        <v>16382</v>
      </c>
      <c r="B1068" s="59" t="s">
        <v>161</v>
      </c>
      <c r="C1068" s="59" t="s">
        <v>11723</v>
      </c>
      <c r="D1068" s="59" t="s">
        <v>14377</v>
      </c>
      <c r="E1068" s="59" t="s">
        <v>10961</v>
      </c>
      <c r="F1068" s="59" t="s">
        <v>11094</v>
      </c>
      <c r="G1068" s="5"/>
      <c r="H1068" s="5"/>
      <c r="I1068" s="5"/>
      <c r="J1068" s="5"/>
    </row>
    <row r="1069" spans="1:10" ht="14.1" customHeight="1" thickBot="1" x14ac:dyDescent="0.25">
      <c r="A1069" s="61" t="s">
        <v>18889</v>
      </c>
      <c r="B1069" s="61" t="s">
        <v>18890</v>
      </c>
      <c r="C1069" s="61" t="s">
        <v>17798</v>
      </c>
      <c r="D1069" s="61" t="s">
        <v>10170</v>
      </c>
      <c r="E1069" s="61" t="s">
        <v>17854</v>
      </c>
      <c r="F1069" s="61"/>
      <c r="G1069" s="5"/>
      <c r="H1069" s="5"/>
      <c r="I1069" s="5"/>
      <c r="J1069" s="5"/>
    </row>
    <row r="1070" spans="1:10" ht="14.1" customHeight="1" thickBot="1" x14ac:dyDescent="0.25">
      <c r="A1070" s="82" t="s">
        <v>14828</v>
      </c>
      <c r="B1070" s="62" t="s">
        <v>8528</v>
      </c>
      <c r="C1070" s="71">
        <v>44197</v>
      </c>
      <c r="D1070" s="82" t="s">
        <v>9385</v>
      </c>
      <c r="E1070" s="62" t="s">
        <v>13092</v>
      </c>
      <c r="F1070" s="61" t="s">
        <v>3080</v>
      </c>
      <c r="G1070" s="5"/>
      <c r="H1070" s="5"/>
      <c r="I1070" s="5"/>
      <c r="J1070" s="5"/>
    </row>
    <row r="1071" spans="1:10" ht="14.1" customHeight="1" thickBot="1" x14ac:dyDescent="0.25">
      <c r="A1071" s="83"/>
      <c r="B1071" s="62" t="s">
        <v>1786</v>
      </c>
      <c r="C1071" s="60">
        <f>IF(C1070="","",IF(AND(MONTH(C1070)&gt;=1,MONTH(C1070)&lt;=3),1,IF(AND(MONTH(C1070)&gt;=4,MONTH(C1070)&lt;=6),2,IF(AND(MONTH(C1070)&gt;=7,MONTH(C1070)&lt;=9),3,4))))</f>
        <v>1</v>
      </c>
      <c r="D1071" s="83"/>
      <c r="E1071" s="62" t="s">
        <v>2417</v>
      </c>
      <c r="F1071" s="61" t="s">
        <v>11111</v>
      </c>
      <c r="G1071" s="5"/>
      <c r="H1071" s="5"/>
      <c r="I1071" s="5"/>
      <c r="J1071" s="5"/>
    </row>
    <row r="1072" spans="1:10" ht="14.1" customHeight="1" thickBot="1" x14ac:dyDescent="0.25">
      <c r="A1072" s="83"/>
      <c r="B1072" s="62" t="s">
        <v>12941</v>
      </c>
      <c r="C1072" s="71">
        <v>44198</v>
      </c>
      <c r="D1072" s="83"/>
      <c r="E1072" s="62" t="s">
        <v>3073</v>
      </c>
      <c r="F1072" s="61" t="s">
        <v>11111</v>
      </c>
      <c r="G1072" s="5"/>
      <c r="H1072" s="5"/>
      <c r="I1072" s="5"/>
      <c r="J1072" s="5"/>
    </row>
    <row r="1073" spans="1:10" ht="14.1" customHeight="1" thickBot="1" x14ac:dyDescent="0.25">
      <c r="A1073" s="83"/>
      <c r="B1073" s="62" t="s">
        <v>1786</v>
      </c>
      <c r="C1073" s="60">
        <f>IF(C1072="","",IF(AND(MONTH(C1072)&gt;=1,MONTH(C1072)&lt;=3),1,IF(AND(MONTH(C1072)&gt;=4,MONTH(C1072)&lt;=6),2,IF(AND(MONTH(C1072)&gt;=7,MONTH(C1072)&lt;=9),3,4))))</f>
        <v>1</v>
      </c>
      <c r="D1073" s="83"/>
      <c r="E1073" s="62" t="s">
        <v>13191</v>
      </c>
      <c r="F1073" s="61" t="s">
        <v>11111</v>
      </c>
      <c r="G1073" s="5"/>
      <c r="H1073" s="5"/>
      <c r="I1073" s="5"/>
      <c r="J1073" s="5"/>
    </row>
    <row r="1074" spans="1:10" ht="14.1" customHeight="1" thickBot="1" x14ac:dyDescent="0.25">
      <c r="A1074" s="5"/>
      <c r="B1074" s="5"/>
      <c r="C1074" s="5"/>
      <c r="D1074" s="5"/>
      <c r="E1074" s="5"/>
      <c r="F1074" s="5"/>
      <c r="G1074" s="5"/>
      <c r="H1074" s="5"/>
      <c r="I1074" s="5"/>
      <c r="J1074" s="5"/>
    </row>
    <row r="1075" spans="1:10" ht="14.1" customHeight="1" thickBot="1" x14ac:dyDescent="0.25">
      <c r="A1075" s="67" t="s">
        <v>15735</v>
      </c>
      <c r="B1075" s="67" t="s">
        <v>16146</v>
      </c>
      <c r="C1075" s="67" t="s">
        <v>15641</v>
      </c>
      <c r="D1075" s="67" t="s">
        <v>15251</v>
      </c>
      <c r="E1075" s="67" t="s">
        <v>6932</v>
      </c>
      <c r="F1075" s="67" t="s">
        <v>15280</v>
      </c>
      <c r="G1075" s="5"/>
      <c r="H1075" s="5"/>
      <c r="I1075" s="5"/>
      <c r="J1075" s="5"/>
    </row>
    <row r="1076" spans="1:10" ht="27" customHeight="1" x14ac:dyDescent="0.2">
      <c r="A1076" s="63">
        <v>42172001</v>
      </c>
      <c r="B1076" s="64" t="str">
        <f ca="1">IFERROR(INDEX(UNSPSCDes,MATCH(INDIRECT(ADDRESS(ROW(),COLUMN()-1,4)),UNSPSCCode,0)),"")</f>
        <v>Kits de primeros auxilios para servicios médicos de emergencia</v>
      </c>
      <c r="C1076" s="63" t="s">
        <v>1449</v>
      </c>
      <c r="D1076" s="63">
        <v>1</v>
      </c>
      <c r="E1076" s="66">
        <v>25000</v>
      </c>
      <c r="F1076" s="65">
        <f ca="1">INDIRECT(ADDRESS(ROW(),COLUMN()-2,4))*INDIRECT(ADDRESS(ROW(),COLUMN()-1,4))</f>
        <v>25000</v>
      </c>
      <c r="G1076" s="5"/>
      <c r="H1076" s="5"/>
      <c r="I1076" s="5"/>
      <c r="J1076" s="5"/>
    </row>
    <row r="1077" spans="1:10" ht="14.1" customHeight="1" x14ac:dyDescent="0.2">
      <c r="A1077" s="5"/>
      <c r="B1077" s="5"/>
      <c r="C1077" s="5"/>
      <c r="D1077" s="5"/>
      <c r="E1077" s="68" t="s">
        <v>12549</v>
      </c>
      <c r="F1077" s="69">
        <f ca="1">SUM(Table398[MONTO TOTAL ESTIMADO])</f>
        <v>25000</v>
      </c>
      <c r="G1077" s="5"/>
      <c r="H1077" s="5" t="str">
        <f>C1069</f>
        <v>Bienes</v>
      </c>
      <c r="I1077" s="5" t="str">
        <f>E1069</f>
        <v>No</v>
      </c>
      <c r="J1077" s="5" t="str">
        <f>D1069</f>
        <v>Compras por debajo del Umbral</v>
      </c>
    </row>
    <row r="1078" spans="1:10" ht="14.1" customHeight="1" thickBot="1" x14ac:dyDescent="0.3"/>
    <row r="1079" spans="1:10" ht="33.75" customHeight="1" thickBot="1" x14ac:dyDescent="0.25">
      <c r="A1079" s="59" t="s">
        <v>16382</v>
      </c>
      <c r="B1079" s="59" t="s">
        <v>161</v>
      </c>
      <c r="C1079" s="59" t="s">
        <v>11723</v>
      </c>
      <c r="D1079" s="59" t="s">
        <v>14377</v>
      </c>
      <c r="E1079" s="59" t="s">
        <v>10961</v>
      </c>
      <c r="F1079" s="59" t="s">
        <v>11094</v>
      </c>
      <c r="G1079" s="5"/>
      <c r="H1079" s="5"/>
      <c r="I1079" s="5"/>
      <c r="J1079" s="5"/>
    </row>
    <row r="1080" spans="1:10" ht="14.1" customHeight="1" thickBot="1" x14ac:dyDescent="0.25">
      <c r="A1080" s="61" t="s">
        <v>18889</v>
      </c>
      <c r="B1080" s="61" t="s">
        <v>18890</v>
      </c>
      <c r="C1080" s="61" t="s">
        <v>17798</v>
      </c>
      <c r="D1080" s="61" t="s">
        <v>10170</v>
      </c>
      <c r="E1080" s="61" t="s">
        <v>17854</v>
      </c>
      <c r="F1080" s="61"/>
      <c r="G1080" s="5"/>
      <c r="H1080" s="5"/>
      <c r="I1080" s="5"/>
      <c r="J1080" s="5"/>
    </row>
    <row r="1081" spans="1:10" ht="14.1" customHeight="1" thickBot="1" x14ac:dyDescent="0.25">
      <c r="A1081" s="82" t="s">
        <v>14828</v>
      </c>
      <c r="B1081" s="62" t="s">
        <v>8528</v>
      </c>
      <c r="C1081" s="71">
        <v>44287</v>
      </c>
      <c r="D1081" s="82" t="s">
        <v>9385</v>
      </c>
      <c r="E1081" s="62" t="s">
        <v>13092</v>
      </c>
      <c r="F1081" s="61" t="s">
        <v>3080</v>
      </c>
      <c r="G1081" s="5"/>
      <c r="H1081" s="5"/>
      <c r="I1081" s="5"/>
      <c r="J1081" s="5"/>
    </row>
    <row r="1082" spans="1:10" ht="14.1" customHeight="1" thickBot="1" x14ac:dyDescent="0.25">
      <c r="A1082" s="83"/>
      <c r="B1082" s="62" t="s">
        <v>1786</v>
      </c>
      <c r="C1082" s="60">
        <f>IF(C1081="","",IF(AND(MONTH(C1081)&gt;=1,MONTH(C1081)&lt;=3),1,IF(AND(MONTH(C1081)&gt;=4,MONTH(C1081)&lt;=6),2,IF(AND(MONTH(C1081)&gt;=7,MONTH(C1081)&lt;=9),3,4))))</f>
        <v>2</v>
      </c>
      <c r="D1082" s="83"/>
      <c r="E1082" s="62" t="s">
        <v>2417</v>
      </c>
      <c r="F1082" s="61" t="s">
        <v>11111</v>
      </c>
      <c r="G1082" s="5"/>
      <c r="H1082" s="5"/>
      <c r="I1082" s="5"/>
      <c r="J1082" s="5"/>
    </row>
    <row r="1083" spans="1:10" ht="14.1" customHeight="1" thickBot="1" x14ac:dyDescent="0.25">
      <c r="A1083" s="83"/>
      <c r="B1083" s="62" t="s">
        <v>12941</v>
      </c>
      <c r="C1083" s="71">
        <v>44288</v>
      </c>
      <c r="D1083" s="83"/>
      <c r="E1083" s="62" t="s">
        <v>3073</v>
      </c>
      <c r="F1083" s="61" t="s">
        <v>11111</v>
      </c>
      <c r="G1083" s="5"/>
      <c r="H1083" s="5"/>
      <c r="I1083" s="5"/>
      <c r="J1083" s="5"/>
    </row>
    <row r="1084" spans="1:10" ht="14.1" customHeight="1" thickBot="1" x14ac:dyDescent="0.25">
      <c r="A1084" s="83"/>
      <c r="B1084" s="62" t="s">
        <v>1786</v>
      </c>
      <c r="C1084" s="60">
        <f>IF(C1083="","",IF(AND(MONTH(C1083)&gt;=1,MONTH(C1083)&lt;=3),1,IF(AND(MONTH(C1083)&gt;=4,MONTH(C1083)&lt;=6),2,IF(AND(MONTH(C1083)&gt;=7,MONTH(C1083)&lt;=9),3,4))))</f>
        <v>2</v>
      </c>
      <c r="D1084" s="83"/>
      <c r="E1084" s="62" t="s">
        <v>13191</v>
      </c>
      <c r="F1084" s="61" t="s">
        <v>11111</v>
      </c>
      <c r="G1084" s="5"/>
      <c r="H1084" s="5"/>
      <c r="I1084" s="5"/>
      <c r="J1084" s="5"/>
    </row>
    <row r="1085" spans="1:10" ht="14.1" customHeight="1" thickBot="1" x14ac:dyDescent="0.25">
      <c r="A1085" s="5"/>
      <c r="B1085" s="5"/>
      <c r="C1085" s="5"/>
      <c r="D1085" s="5"/>
      <c r="E1085" s="5"/>
      <c r="F1085" s="5"/>
      <c r="G1085" s="5"/>
      <c r="H1085" s="5"/>
      <c r="I1085" s="5"/>
      <c r="J1085" s="5"/>
    </row>
    <row r="1086" spans="1:10" ht="14.1" customHeight="1" thickBot="1" x14ac:dyDescent="0.25">
      <c r="A1086" s="67" t="s">
        <v>15735</v>
      </c>
      <c r="B1086" s="67" t="s">
        <v>16146</v>
      </c>
      <c r="C1086" s="67" t="s">
        <v>15641</v>
      </c>
      <c r="D1086" s="67" t="s">
        <v>15251</v>
      </c>
      <c r="E1086" s="67" t="s">
        <v>6932</v>
      </c>
      <c r="F1086" s="67" t="s">
        <v>15280</v>
      </c>
      <c r="G1086" s="5"/>
      <c r="H1086" s="5"/>
      <c r="I1086" s="5"/>
      <c r="J1086" s="5"/>
    </row>
    <row r="1087" spans="1:10" ht="27" customHeight="1" x14ac:dyDescent="0.2">
      <c r="A1087" s="63">
        <v>42172001</v>
      </c>
      <c r="B1087" s="64" t="str">
        <f ca="1">IFERROR(INDEX(UNSPSCDes,MATCH(INDIRECT(ADDRESS(ROW(),COLUMN()-1,4)),UNSPSCCode,0)),"")</f>
        <v>Kits de primeros auxilios para servicios médicos de emergencia</v>
      </c>
      <c r="C1087" s="63" t="s">
        <v>1449</v>
      </c>
      <c r="D1087" s="63">
        <v>1</v>
      </c>
      <c r="E1087" s="66">
        <v>25000</v>
      </c>
      <c r="F1087" s="65">
        <f ca="1">INDIRECT(ADDRESS(ROW(),COLUMN()-2,4))*INDIRECT(ADDRESS(ROW(),COLUMN()-1,4))</f>
        <v>25000</v>
      </c>
      <c r="G1087" s="5"/>
      <c r="H1087" s="5"/>
      <c r="I1087" s="5"/>
      <c r="J1087" s="5"/>
    </row>
    <row r="1088" spans="1:10" ht="14.1" customHeight="1" x14ac:dyDescent="0.2">
      <c r="A1088" s="5"/>
      <c r="B1088" s="5"/>
      <c r="C1088" s="5"/>
      <c r="D1088" s="5"/>
      <c r="E1088" s="68" t="s">
        <v>12549</v>
      </c>
      <c r="F1088" s="69">
        <f ca="1">SUM(Table399[MONTO TOTAL ESTIMADO])</f>
        <v>25000</v>
      </c>
      <c r="G1088" s="5"/>
      <c r="H1088" s="5" t="str">
        <f>C1080</f>
        <v>Bienes</v>
      </c>
      <c r="I1088" s="5" t="str">
        <f>E1080</f>
        <v>No</v>
      </c>
      <c r="J1088" s="5" t="str">
        <f>D1080</f>
        <v>Compras por debajo del Umbral</v>
      </c>
    </row>
    <row r="1089" spans="1:10" ht="14.1" customHeight="1" thickBot="1" x14ac:dyDescent="0.3"/>
    <row r="1090" spans="1:10" ht="33.75" customHeight="1" thickBot="1" x14ac:dyDescent="0.25">
      <c r="A1090" s="59" t="s">
        <v>16382</v>
      </c>
      <c r="B1090" s="59" t="s">
        <v>161</v>
      </c>
      <c r="C1090" s="59" t="s">
        <v>11723</v>
      </c>
      <c r="D1090" s="59" t="s">
        <v>14377</v>
      </c>
      <c r="E1090" s="59" t="s">
        <v>10961</v>
      </c>
      <c r="F1090" s="59" t="s">
        <v>11094</v>
      </c>
      <c r="G1090" s="5"/>
      <c r="H1090" s="5"/>
      <c r="I1090" s="5"/>
      <c r="J1090" s="5"/>
    </row>
    <row r="1091" spans="1:10" ht="14.1" customHeight="1" thickBot="1" x14ac:dyDescent="0.25">
      <c r="A1091" s="61" t="s">
        <v>18889</v>
      </c>
      <c r="B1091" s="61" t="s">
        <v>18890</v>
      </c>
      <c r="C1091" s="61" t="s">
        <v>17798</v>
      </c>
      <c r="D1091" s="61" t="s">
        <v>10170</v>
      </c>
      <c r="E1091" s="61" t="s">
        <v>17854</v>
      </c>
      <c r="F1091" s="61"/>
      <c r="G1091" s="5"/>
      <c r="H1091" s="5"/>
      <c r="I1091" s="5"/>
      <c r="J1091" s="5"/>
    </row>
    <row r="1092" spans="1:10" ht="14.1" customHeight="1" thickBot="1" x14ac:dyDescent="0.25">
      <c r="A1092" s="82" t="s">
        <v>14828</v>
      </c>
      <c r="B1092" s="62" t="s">
        <v>8528</v>
      </c>
      <c r="C1092" s="71">
        <v>44378</v>
      </c>
      <c r="D1092" s="82" t="s">
        <v>9385</v>
      </c>
      <c r="E1092" s="62" t="s">
        <v>13092</v>
      </c>
      <c r="F1092" s="61" t="s">
        <v>3080</v>
      </c>
      <c r="G1092" s="5"/>
      <c r="H1092" s="5"/>
      <c r="I1092" s="5"/>
      <c r="J1092" s="5"/>
    </row>
    <row r="1093" spans="1:10" ht="14.1" customHeight="1" thickBot="1" x14ac:dyDescent="0.25">
      <c r="A1093" s="83"/>
      <c r="B1093" s="62" t="s">
        <v>1786</v>
      </c>
      <c r="C1093" s="60">
        <f>IF(C1092="","",IF(AND(MONTH(C1092)&gt;=1,MONTH(C1092)&lt;=3),1,IF(AND(MONTH(C1092)&gt;=4,MONTH(C1092)&lt;=6),2,IF(AND(MONTH(C1092)&gt;=7,MONTH(C1092)&lt;=9),3,4))))</f>
        <v>3</v>
      </c>
      <c r="D1093" s="83"/>
      <c r="E1093" s="62" t="s">
        <v>2417</v>
      </c>
      <c r="F1093" s="61" t="s">
        <v>11111</v>
      </c>
      <c r="G1093" s="5"/>
      <c r="H1093" s="5"/>
      <c r="I1093" s="5"/>
      <c r="J1093" s="5"/>
    </row>
    <row r="1094" spans="1:10" ht="14.1" customHeight="1" thickBot="1" x14ac:dyDescent="0.25">
      <c r="A1094" s="83"/>
      <c r="B1094" s="62" t="s">
        <v>12941</v>
      </c>
      <c r="C1094" s="71">
        <v>44379</v>
      </c>
      <c r="D1094" s="83"/>
      <c r="E1094" s="62" t="s">
        <v>3073</v>
      </c>
      <c r="F1094" s="61" t="s">
        <v>11111</v>
      </c>
      <c r="G1094" s="5"/>
      <c r="H1094" s="5"/>
      <c r="I1094" s="5"/>
      <c r="J1094" s="5"/>
    </row>
    <row r="1095" spans="1:10" ht="14.1" customHeight="1" thickBot="1" x14ac:dyDescent="0.25">
      <c r="A1095" s="83"/>
      <c r="B1095" s="62" t="s">
        <v>1786</v>
      </c>
      <c r="C1095" s="60">
        <f>IF(C1094="","",IF(AND(MONTH(C1094)&gt;=1,MONTH(C1094)&lt;=3),1,IF(AND(MONTH(C1094)&gt;=4,MONTH(C1094)&lt;=6),2,IF(AND(MONTH(C1094)&gt;=7,MONTH(C1094)&lt;=9),3,4))))</f>
        <v>3</v>
      </c>
      <c r="D1095" s="83"/>
      <c r="E1095" s="62" t="s">
        <v>13191</v>
      </c>
      <c r="F1095" s="61" t="s">
        <v>11111</v>
      </c>
      <c r="G1095" s="5"/>
      <c r="H1095" s="5"/>
      <c r="I1095" s="5"/>
      <c r="J1095" s="5"/>
    </row>
    <row r="1096" spans="1:10" ht="14.1" customHeight="1" thickBot="1" x14ac:dyDescent="0.25">
      <c r="A1096" s="5"/>
      <c r="B1096" s="5"/>
      <c r="C1096" s="5"/>
      <c r="D1096" s="5"/>
      <c r="E1096" s="5"/>
      <c r="F1096" s="5"/>
      <c r="G1096" s="5"/>
      <c r="H1096" s="5"/>
      <c r="I1096" s="5"/>
      <c r="J1096" s="5"/>
    </row>
    <row r="1097" spans="1:10" ht="14.1" customHeight="1" thickBot="1" x14ac:dyDescent="0.25">
      <c r="A1097" s="67" t="s">
        <v>15735</v>
      </c>
      <c r="B1097" s="67" t="s">
        <v>16146</v>
      </c>
      <c r="C1097" s="67" t="s">
        <v>15641</v>
      </c>
      <c r="D1097" s="67" t="s">
        <v>15251</v>
      </c>
      <c r="E1097" s="67" t="s">
        <v>6932</v>
      </c>
      <c r="F1097" s="67" t="s">
        <v>15280</v>
      </c>
      <c r="G1097" s="5"/>
      <c r="H1097" s="5"/>
      <c r="I1097" s="5"/>
      <c r="J1097" s="5"/>
    </row>
    <row r="1098" spans="1:10" ht="27" customHeight="1" x14ac:dyDescent="0.2">
      <c r="A1098" s="63">
        <v>42172001</v>
      </c>
      <c r="B1098" s="64" t="str">
        <f ca="1">IFERROR(INDEX(UNSPSCDes,MATCH(INDIRECT(ADDRESS(ROW(),COLUMN()-1,4)),UNSPSCCode,0)),"")</f>
        <v>Kits de primeros auxilios para servicios médicos de emergencia</v>
      </c>
      <c r="C1098" s="63" t="s">
        <v>1449</v>
      </c>
      <c r="D1098" s="63">
        <v>1</v>
      </c>
      <c r="E1098" s="66">
        <v>25000</v>
      </c>
      <c r="F1098" s="65">
        <f ca="1">INDIRECT(ADDRESS(ROW(),COLUMN()-2,4))*INDIRECT(ADDRESS(ROW(),COLUMN()-1,4))</f>
        <v>25000</v>
      </c>
      <c r="G1098" s="5"/>
      <c r="H1098" s="5"/>
      <c r="I1098" s="5"/>
      <c r="J1098" s="5"/>
    </row>
    <row r="1099" spans="1:10" ht="14.1" customHeight="1" x14ac:dyDescent="0.2">
      <c r="A1099" s="5"/>
      <c r="B1099" s="5"/>
      <c r="C1099" s="5"/>
      <c r="D1099" s="5"/>
      <c r="E1099" s="68" t="s">
        <v>12549</v>
      </c>
      <c r="F1099" s="69">
        <f ca="1">SUM(Table3100[MONTO TOTAL ESTIMADO])</f>
        <v>25000</v>
      </c>
      <c r="G1099" s="5"/>
      <c r="H1099" s="5" t="str">
        <f>C1091</f>
        <v>Bienes</v>
      </c>
      <c r="I1099" s="5" t="str">
        <f>E1091</f>
        <v>No</v>
      </c>
      <c r="J1099" s="5" t="str">
        <f>D1091</f>
        <v>Compras por debajo del Umbral</v>
      </c>
    </row>
    <row r="1100" spans="1:10" ht="14.1" customHeight="1" thickBot="1" x14ac:dyDescent="0.3"/>
    <row r="1101" spans="1:10" ht="33.75" customHeight="1" thickBot="1" x14ac:dyDescent="0.25">
      <c r="A1101" s="59" t="s">
        <v>16382</v>
      </c>
      <c r="B1101" s="59" t="s">
        <v>161</v>
      </c>
      <c r="C1101" s="59" t="s">
        <v>11723</v>
      </c>
      <c r="D1101" s="59" t="s">
        <v>14377</v>
      </c>
      <c r="E1101" s="59" t="s">
        <v>10961</v>
      </c>
      <c r="F1101" s="59" t="s">
        <v>11094</v>
      </c>
      <c r="G1101" s="5"/>
      <c r="H1101" s="5"/>
      <c r="I1101" s="5"/>
      <c r="J1101" s="5"/>
    </row>
    <row r="1102" spans="1:10" ht="14.1" customHeight="1" thickBot="1" x14ac:dyDescent="0.25">
      <c r="A1102" s="61" t="s">
        <v>18889</v>
      </c>
      <c r="B1102" s="61" t="s">
        <v>18890</v>
      </c>
      <c r="C1102" s="61" t="s">
        <v>17798</v>
      </c>
      <c r="D1102" s="61" t="s">
        <v>10170</v>
      </c>
      <c r="E1102" s="61" t="s">
        <v>17854</v>
      </c>
      <c r="F1102" s="61"/>
      <c r="G1102" s="5"/>
      <c r="H1102" s="5"/>
      <c r="I1102" s="5"/>
      <c r="J1102" s="5"/>
    </row>
    <row r="1103" spans="1:10" ht="14.1" customHeight="1" thickBot="1" x14ac:dyDescent="0.25">
      <c r="A1103" s="82" t="s">
        <v>14828</v>
      </c>
      <c r="B1103" s="62" t="s">
        <v>8528</v>
      </c>
      <c r="C1103" s="71">
        <v>44470</v>
      </c>
      <c r="D1103" s="82" t="s">
        <v>9385</v>
      </c>
      <c r="E1103" s="62" t="s">
        <v>13092</v>
      </c>
      <c r="F1103" s="61" t="s">
        <v>3080</v>
      </c>
      <c r="G1103" s="5"/>
      <c r="H1103" s="5"/>
      <c r="I1103" s="5"/>
      <c r="J1103" s="5"/>
    </row>
    <row r="1104" spans="1:10" ht="14.1" customHeight="1" thickBot="1" x14ac:dyDescent="0.25">
      <c r="A1104" s="83"/>
      <c r="B1104" s="62" t="s">
        <v>1786</v>
      </c>
      <c r="C1104" s="60">
        <f>IF(C1103="","",IF(AND(MONTH(C1103)&gt;=1,MONTH(C1103)&lt;=3),1,IF(AND(MONTH(C1103)&gt;=4,MONTH(C1103)&lt;=6),2,IF(AND(MONTH(C1103)&gt;=7,MONTH(C1103)&lt;=9),3,4))))</f>
        <v>4</v>
      </c>
      <c r="D1104" s="83"/>
      <c r="E1104" s="62" t="s">
        <v>2417</v>
      </c>
      <c r="F1104" s="61" t="s">
        <v>11111</v>
      </c>
      <c r="G1104" s="5"/>
      <c r="H1104" s="5"/>
      <c r="I1104" s="5"/>
      <c r="J1104" s="5"/>
    </row>
    <row r="1105" spans="1:10" ht="14.1" customHeight="1" thickBot="1" x14ac:dyDescent="0.25">
      <c r="A1105" s="83"/>
      <c r="B1105" s="62" t="s">
        <v>12941</v>
      </c>
      <c r="C1105" s="71">
        <v>44473</v>
      </c>
      <c r="D1105" s="83"/>
      <c r="E1105" s="62" t="s">
        <v>3073</v>
      </c>
      <c r="F1105" s="61" t="s">
        <v>11111</v>
      </c>
      <c r="G1105" s="5"/>
      <c r="H1105" s="5"/>
      <c r="I1105" s="5"/>
      <c r="J1105" s="5"/>
    </row>
    <row r="1106" spans="1:10" ht="14.1" customHeight="1" thickBot="1" x14ac:dyDescent="0.25">
      <c r="A1106" s="83"/>
      <c r="B1106" s="62" t="s">
        <v>1786</v>
      </c>
      <c r="C1106" s="60">
        <f>IF(C1105="","",IF(AND(MONTH(C1105)&gt;=1,MONTH(C1105)&lt;=3),1,IF(AND(MONTH(C1105)&gt;=4,MONTH(C1105)&lt;=6),2,IF(AND(MONTH(C1105)&gt;=7,MONTH(C1105)&lt;=9),3,4))))</f>
        <v>4</v>
      </c>
      <c r="D1106" s="83"/>
      <c r="E1106" s="62" t="s">
        <v>13191</v>
      </c>
      <c r="F1106" s="61" t="s">
        <v>11111</v>
      </c>
      <c r="G1106" s="5"/>
      <c r="H1106" s="5"/>
      <c r="I1106" s="5"/>
      <c r="J1106" s="5"/>
    </row>
    <row r="1107" spans="1:10" ht="14.1" customHeight="1" thickBot="1" x14ac:dyDescent="0.25">
      <c r="A1107" s="5"/>
      <c r="B1107" s="5"/>
      <c r="C1107" s="5"/>
      <c r="D1107" s="5"/>
      <c r="E1107" s="5"/>
      <c r="F1107" s="5"/>
      <c r="G1107" s="5"/>
      <c r="H1107" s="5"/>
      <c r="I1107" s="5"/>
      <c r="J1107" s="5"/>
    </row>
    <row r="1108" spans="1:10" ht="14.1" customHeight="1" thickBot="1" x14ac:dyDescent="0.25">
      <c r="A1108" s="67" t="s">
        <v>15735</v>
      </c>
      <c r="B1108" s="67" t="s">
        <v>16146</v>
      </c>
      <c r="C1108" s="67" t="s">
        <v>15641</v>
      </c>
      <c r="D1108" s="67" t="s">
        <v>15251</v>
      </c>
      <c r="E1108" s="67" t="s">
        <v>6932</v>
      </c>
      <c r="F1108" s="67" t="s">
        <v>15280</v>
      </c>
      <c r="G1108" s="5"/>
      <c r="H1108" s="5"/>
      <c r="I1108" s="5"/>
      <c r="J1108" s="5"/>
    </row>
    <row r="1109" spans="1:10" ht="27" customHeight="1" x14ac:dyDescent="0.2">
      <c r="A1109" s="63">
        <v>42172001</v>
      </c>
      <c r="B1109" s="64" t="str">
        <f ca="1">IFERROR(INDEX(UNSPSCDes,MATCH(INDIRECT(ADDRESS(ROW(),COLUMN()-1,4)),UNSPSCCode,0)),"")</f>
        <v>Kits de primeros auxilios para servicios médicos de emergencia</v>
      </c>
      <c r="C1109" s="63" t="s">
        <v>1449</v>
      </c>
      <c r="D1109" s="63">
        <v>1</v>
      </c>
      <c r="E1109" s="66">
        <v>25000</v>
      </c>
      <c r="F1109" s="65">
        <f ca="1">INDIRECT(ADDRESS(ROW(),COLUMN()-2,4))*INDIRECT(ADDRESS(ROW(),COLUMN()-1,4))</f>
        <v>25000</v>
      </c>
      <c r="G1109" s="5"/>
      <c r="H1109" s="5"/>
      <c r="I1109" s="5"/>
      <c r="J1109" s="5"/>
    </row>
    <row r="1110" spans="1:10" ht="14.1" customHeight="1" x14ac:dyDescent="0.2">
      <c r="A1110" s="5"/>
      <c r="B1110" s="5"/>
      <c r="C1110" s="5"/>
      <c r="D1110" s="5"/>
      <c r="E1110" s="68" t="s">
        <v>12549</v>
      </c>
      <c r="F1110" s="69">
        <f ca="1">SUM(Table3101[MONTO TOTAL ESTIMADO])</f>
        <v>25000</v>
      </c>
      <c r="G1110" s="5"/>
      <c r="H1110" s="5" t="str">
        <f>C1102</f>
        <v>Bienes</v>
      </c>
      <c r="I1110" s="5" t="str">
        <f>E1102</f>
        <v>No</v>
      </c>
      <c r="J1110" s="5" t="str">
        <f>D1102</f>
        <v>Compras por debajo del Umbral</v>
      </c>
    </row>
    <row r="1111" spans="1:10" ht="14.1" customHeight="1" thickBot="1" x14ac:dyDescent="0.3"/>
    <row r="1112" spans="1:10" ht="33.75" customHeight="1" thickBot="1" x14ac:dyDescent="0.25">
      <c r="A1112" s="59" t="s">
        <v>16382</v>
      </c>
      <c r="B1112" s="59" t="s">
        <v>161</v>
      </c>
      <c r="C1112" s="59" t="s">
        <v>11723</v>
      </c>
      <c r="D1112" s="59" t="s">
        <v>14377</v>
      </c>
      <c r="E1112" s="59" t="s">
        <v>10961</v>
      </c>
      <c r="F1112" s="59" t="s">
        <v>11094</v>
      </c>
      <c r="G1112" s="5"/>
      <c r="H1112" s="5"/>
      <c r="I1112" s="5"/>
      <c r="J1112" s="5"/>
    </row>
    <row r="1113" spans="1:10" ht="14.1" customHeight="1" thickBot="1" x14ac:dyDescent="0.25">
      <c r="A1113" s="61" t="s">
        <v>18891</v>
      </c>
      <c r="B1113" s="61" t="s">
        <v>18892</v>
      </c>
      <c r="C1113" s="61" t="s">
        <v>17798</v>
      </c>
      <c r="D1113" s="61" t="s">
        <v>10170</v>
      </c>
      <c r="E1113" s="61" t="s">
        <v>8854</v>
      </c>
      <c r="F1113" s="61"/>
      <c r="G1113" s="5"/>
      <c r="H1113" s="5"/>
      <c r="I1113" s="5"/>
      <c r="J1113" s="5"/>
    </row>
    <row r="1114" spans="1:10" ht="14.1" customHeight="1" thickBot="1" x14ac:dyDescent="0.25">
      <c r="A1114" s="82" t="s">
        <v>14828</v>
      </c>
      <c r="B1114" s="62" t="s">
        <v>8528</v>
      </c>
      <c r="C1114" s="71">
        <v>44197</v>
      </c>
      <c r="D1114" s="82" t="s">
        <v>9385</v>
      </c>
      <c r="E1114" s="62" t="s">
        <v>13092</v>
      </c>
      <c r="F1114" s="61" t="s">
        <v>3080</v>
      </c>
      <c r="G1114" s="5"/>
      <c r="H1114" s="5"/>
      <c r="I1114" s="5"/>
      <c r="J1114" s="5"/>
    </row>
    <row r="1115" spans="1:10" ht="14.1" customHeight="1" thickBot="1" x14ac:dyDescent="0.25">
      <c r="A1115" s="83"/>
      <c r="B1115" s="62" t="s">
        <v>1786</v>
      </c>
      <c r="C1115" s="60">
        <f>IF(C1114="","",IF(AND(MONTH(C1114)&gt;=1,MONTH(C1114)&lt;=3),1,IF(AND(MONTH(C1114)&gt;=4,MONTH(C1114)&lt;=6),2,IF(AND(MONTH(C1114)&gt;=7,MONTH(C1114)&lt;=9),3,4))))</f>
        <v>1</v>
      </c>
      <c r="D1115" s="83"/>
      <c r="E1115" s="62" t="s">
        <v>2417</v>
      </c>
      <c r="F1115" s="61" t="s">
        <v>11111</v>
      </c>
      <c r="G1115" s="5"/>
      <c r="H1115" s="5"/>
      <c r="I1115" s="5"/>
      <c r="J1115" s="5"/>
    </row>
    <row r="1116" spans="1:10" ht="14.1" customHeight="1" thickBot="1" x14ac:dyDescent="0.25">
      <c r="A1116" s="83"/>
      <c r="B1116" s="62" t="s">
        <v>12941</v>
      </c>
      <c r="C1116" s="71">
        <v>44198</v>
      </c>
      <c r="D1116" s="83"/>
      <c r="E1116" s="62" t="s">
        <v>3073</v>
      </c>
      <c r="F1116" s="61" t="s">
        <v>11111</v>
      </c>
      <c r="G1116" s="5"/>
      <c r="H1116" s="5"/>
      <c r="I1116" s="5"/>
      <c r="J1116" s="5"/>
    </row>
    <row r="1117" spans="1:10" ht="14.1" customHeight="1" thickBot="1" x14ac:dyDescent="0.25">
      <c r="A1117" s="83"/>
      <c r="B1117" s="62" t="s">
        <v>1786</v>
      </c>
      <c r="C1117" s="60">
        <f>IF(C1116="","",IF(AND(MONTH(C1116)&gt;=1,MONTH(C1116)&lt;=3),1,IF(AND(MONTH(C1116)&gt;=4,MONTH(C1116)&lt;=6),2,IF(AND(MONTH(C1116)&gt;=7,MONTH(C1116)&lt;=9),3,4))))</f>
        <v>1</v>
      </c>
      <c r="D1117" s="83"/>
      <c r="E1117" s="62" t="s">
        <v>13191</v>
      </c>
      <c r="F1117" s="61" t="s">
        <v>11111</v>
      </c>
      <c r="G1117" s="5"/>
      <c r="H1117" s="5"/>
      <c r="I1117" s="5"/>
      <c r="J1117" s="5"/>
    </row>
    <row r="1118" spans="1:10" ht="14.1" customHeight="1" thickBot="1" x14ac:dyDescent="0.25">
      <c r="A1118" s="5"/>
      <c r="B1118" s="5"/>
      <c r="C1118" s="5"/>
      <c r="D1118" s="5"/>
      <c r="E1118" s="5"/>
      <c r="F1118" s="5"/>
      <c r="G1118" s="5"/>
      <c r="H1118" s="5"/>
      <c r="I1118" s="5"/>
      <c r="J1118" s="5"/>
    </row>
    <row r="1119" spans="1:10" ht="14.1" customHeight="1" thickBot="1" x14ac:dyDescent="0.25">
      <c r="A1119" s="67" t="s">
        <v>15735</v>
      </c>
      <c r="B1119" s="67" t="s">
        <v>16146</v>
      </c>
      <c r="C1119" s="67" t="s">
        <v>15641</v>
      </c>
      <c r="D1119" s="67" t="s">
        <v>15251</v>
      </c>
      <c r="E1119" s="67" t="s">
        <v>6932</v>
      </c>
      <c r="F1119" s="67" t="s">
        <v>15280</v>
      </c>
      <c r="G1119" s="5"/>
      <c r="H1119" s="5"/>
      <c r="I1119" s="5"/>
      <c r="J1119" s="5"/>
    </row>
    <row r="1120" spans="1:10" ht="13.5" customHeight="1" x14ac:dyDescent="0.2">
      <c r="A1120" s="63">
        <v>25172504</v>
      </c>
      <c r="B1120" s="64" t="str">
        <f ca="1">IFERROR(INDEX(UNSPSCDes,MATCH(INDIRECT(ADDRESS(ROW(),COLUMN()-1,4)),UNSPSCCode,0)),"")</f>
        <v>Llantas para automóviles o camionetas</v>
      </c>
      <c r="C1120" s="63" t="s">
        <v>1449</v>
      </c>
      <c r="D1120" s="63">
        <v>1</v>
      </c>
      <c r="E1120" s="66">
        <v>75000</v>
      </c>
      <c r="F1120" s="65">
        <f ca="1">INDIRECT(ADDRESS(ROW(),COLUMN()-2,4))*INDIRECT(ADDRESS(ROW(),COLUMN()-1,4))</f>
        <v>75000</v>
      </c>
      <c r="G1120" s="5"/>
      <c r="H1120" s="5"/>
      <c r="I1120" s="5"/>
      <c r="J1120" s="5"/>
    </row>
    <row r="1121" spans="1:10" ht="14.1" customHeight="1" x14ac:dyDescent="0.2">
      <c r="A1121" s="5"/>
      <c r="B1121" s="5"/>
      <c r="C1121" s="5"/>
      <c r="D1121" s="5"/>
      <c r="E1121" s="68" t="s">
        <v>12549</v>
      </c>
      <c r="F1121" s="69">
        <f ca="1">SUM(Table3102[MONTO TOTAL ESTIMADO])</f>
        <v>75000</v>
      </c>
      <c r="G1121" s="5"/>
      <c r="H1121" s="5" t="str">
        <f>C1113</f>
        <v>Bienes</v>
      </c>
      <c r="I1121" s="5" t="str">
        <f>E1113</f>
        <v>Sí</v>
      </c>
      <c r="J1121" s="5" t="str">
        <f>D1113</f>
        <v>Compras por debajo del Umbral</v>
      </c>
    </row>
    <row r="1122" spans="1:10" ht="14.1" customHeight="1" thickBot="1" x14ac:dyDescent="0.3"/>
    <row r="1123" spans="1:10" ht="33.75" customHeight="1" thickBot="1" x14ac:dyDescent="0.25">
      <c r="A1123" s="59" t="s">
        <v>16382</v>
      </c>
      <c r="B1123" s="59" t="s">
        <v>161</v>
      </c>
      <c r="C1123" s="59" t="s">
        <v>11723</v>
      </c>
      <c r="D1123" s="59" t="s">
        <v>14377</v>
      </c>
      <c r="E1123" s="59" t="s">
        <v>10961</v>
      </c>
      <c r="F1123" s="59" t="s">
        <v>11094</v>
      </c>
      <c r="G1123" s="5"/>
      <c r="H1123" s="5"/>
      <c r="I1123" s="5"/>
      <c r="J1123" s="5"/>
    </row>
    <row r="1124" spans="1:10" ht="14.1" customHeight="1" thickBot="1" x14ac:dyDescent="0.25">
      <c r="A1124" s="61" t="s">
        <v>18891</v>
      </c>
      <c r="B1124" s="61" t="s">
        <v>18892</v>
      </c>
      <c r="C1124" s="61" t="s">
        <v>17798</v>
      </c>
      <c r="D1124" s="61" t="s">
        <v>10170</v>
      </c>
      <c r="E1124" s="61" t="s">
        <v>8854</v>
      </c>
      <c r="F1124" s="61"/>
      <c r="G1124" s="5"/>
      <c r="H1124" s="5"/>
      <c r="I1124" s="5"/>
      <c r="J1124" s="5"/>
    </row>
    <row r="1125" spans="1:10" ht="14.1" customHeight="1" thickBot="1" x14ac:dyDescent="0.25">
      <c r="A1125" s="82" t="s">
        <v>14828</v>
      </c>
      <c r="B1125" s="62" t="s">
        <v>8528</v>
      </c>
      <c r="C1125" s="71">
        <v>44287</v>
      </c>
      <c r="D1125" s="82" t="s">
        <v>9385</v>
      </c>
      <c r="E1125" s="62" t="s">
        <v>13092</v>
      </c>
      <c r="F1125" s="61" t="s">
        <v>3080</v>
      </c>
      <c r="G1125" s="5"/>
      <c r="H1125" s="5"/>
      <c r="I1125" s="5"/>
      <c r="J1125" s="5"/>
    </row>
    <row r="1126" spans="1:10" ht="14.1" customHeight="1" thickBot="1" x14ac:dyDescent="0.25">
      <c r="A1126" s="83"/>
      <c r="B1126" s="62" t="s">
        <v>1786</v>
      </c>
      <c r="C1126" s="60">
        <f>IF(C1125="","",IF(AND(MONTH(C1125)&gt;=1,MONTH(C1125)&lt;=3),1,IF(AND(MONTH(C1125)&gt;=4,MONTH(C1125)&lt;=6),2,IF(AND(MONTH(C1125)&gt;=7,MONTH(C1125)&lt;=9),3,4))))</f>
        <v>2</v>
      </c>
      <c r="D1126" s="83"/>
      <c r="E1126" s="62" t="s">
        <v>2417</v>
      </c>
      <c r="F1126" s="61" t="s">
        <v>11111</v>
      </c>
      <c r="G1126" s="5"/>
      <c r="H1126" s="5"/>
      <c r="I1126" s="5"/>
      <c r="J1126" s="5"/>
    </row>
    <row r="1127" spans="1:10" ht="14.1" customHeight="1" thickBot="1" x14ac:dyDescent="0.25">
      <c r="A1127" s="83"/>
      <c r="B1127" s="62" t="s">
        <v>12941</v>
      </c>
      <c r="C1127" s="71">
        <v>44288</v>
      </c>
      <c r="D1127" s="83"/>
      <c r="E1127" s="62" t="s">
        <v>3073</v>
      </c>
      <c r="F1127" s="61" t="s">
        <v>11111</v>
      </c>
      <c r="G1127" s="5"/>
      <c r="H1127" s="5"/>
      <c r="I1127" s="5"/>
      <c r="J1127" s="5"/>
    </row>
    <row r="1128" spans="1:10" ht="14.1" customHeight="1" thickBot="1" x14ac:dyDescent="0.25">
      <c r="A1128" s="83"/>
      <c r="B1128" s="62" t="s">
        <v>1786</v>
      </c>
      <c r="C1128" s="60">
        <f>IF(C1127="","",IF(AND(MONTH(C1127)&gt;=1,MONTH(C1127)&lt;=3),1,IF(AND(MONTH(C1127)&gt;=4,MONTH(C1127)&lt;=6),2,IF(AND(MONTH(C1127)&gt;=7,MONTH(C1127)&lt;=9),3,4))))</f>
        <v>2</v>
      </c>
      <c r="D1128" s="83"/>
      <c r="E1128" s="62" t="s">
        <v>13191</v>
      </c>
      <c r="F1128" s="61" t="s">
        <v>11111</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15735</v>
      </c>
      <c r="B1130" s="67" t="s">
        <v>16146</v>
      </c>
      <c r="C1130" s="67" t="s">
        <v>15641</v>
      </c>
      <c r="D1130" s="67" t="s">
        <v>15251</v>
      </c>
      <c r="E1130" s="67" t="s">
        <v>6932</v>
      </c>
      <c r="F1130" s="67" t="s">
        <v>15280</v>
      </c>
      <c r="G1130" s="5"/>
      <c r="H1130" s="5"/>
      <c r="I1130" s="5"/>
      <c r="J1130" s="5"/>
    </row>
    <row r="1131" spans="1:10" ht="13.5" customHeight="1" x14ac:dyDescent="0.2">
      <c r="A1131" s="63">
        <v>25172504</v>
      </c>
      <c r="B1131" s="64" t="str">
        <f ca="1">IFERROR(INDEX(UNSPSCDes,MATCH(INDIRECT(ADDRESS(ROW(),COLUMN()-1,4)),UNSPSCCode,0)),"")</f>
        <v>Llantas para automóviles o camionetas</v>
      </c>
      <c r="C1131" s="63" t="s">
        <v>1449</v>
      </c>
      <c r="D1131" s="63">
        <v>1</v>
      </c>
      <c r="E1131" s="66">
        <v>75000</v>
      </c>
      <c r="F1131" s="65">
        <f ca="1">INDIRECT(ADDRESS(ROW(),COLUMN()-2,4))*INDIRECT(ADDRESS(ROW(),COLUMN()-1,4))</f>
        <v>75000</v>
      </c>
      <c r="G1131" s="5"/>
      <c r="H1131" s="5"/>
      <c r="I1131" s="5"/>
      <c r="J1131" s="5"/>
    </row>
    <row r="1132" spans="1:10" ht="14.1" customHeight="1" x14ac:dyDescent="0.2">
      <c r="A1132" s="5"/>
      <c r="B1132" s="5"/>
      <c r="C1132" s="5"/>
      <c r="D1132" s="5"/>
      <c r="E1132" s="68" t="s">
        <v>12549</v>
      </c>
      <c r="F1132" s="69">
        <f ca="1">SUM(Table3103[MONTO TOTAL ESTIMADO])</f>
        <v>75000</v>
      </c>
      <c r="G1132" s="5"/>
      <c r="H1132" s="5" t="str">
        <f>C1124</f>
        <v>Bienes</v>
      </c>
      <c r="I1132" s="5" t="str">
        <f>E1124</f>
        <v>Sí</v>
      </c>
      <c r="J1132" s="5" t="str">
        <f>D1124</f>
        <v>Compras por debajo del Umbral</v>
      </c>
    </row>
    <row r="1133" spans="1:10" ht="14.1" customHeight="1" thickBot="1" x14ac:dyDescent="0.3"/>
    <row r="1134" spans="1:10" ht="33.75" customHeight="1" thickBot="1" x14ac:dyDescent="0.25">
      <c r="A1134" s="59" t="s">
        <v>16382</v>
      </c>
      <c r="B1134" s="59" t="s">
        <v>161</v>
      </c>
      <c r="C1134" s="59" t="s">
        <v>11723</v>
      </c>
      <c r="D1134" s="59" t="s">
        <v>14377</v>
      </c>
      <c r="E1134" s="59" t="s">
        <v>10961</v>
      </c>
      <c r="F1134" s="59" t="s">
        <v>11094</v>
      </c>
      <c r="G1134" s="5"/>
      <c r="H1134" s="5"/>
      <c r="I1134" s="5"/>
      <c r="J1134" s="5"/>
    </row>
    <row r="1135" spans="1:10" ht="14.1" customHeight="1" thickBot="1" x14ac:dyDescent="0.25">
      <c r="A1135" s="61" t="s">
        <v>18891</v>
      </c>
      <c r="B1135" s="61" t="s">
        <v>18892</v>
      </c>
      <c r="C1135" s="61" t="s">
        <v>17798</v>
      </c>
      <c r="D1135" s="61" t="s">
        <v>10170</v>
      </c>
      <c r="E1135" s="61" t="s">
        <v>8854</v>
      </c>
      <c r="F1135" s="61"/>
      <c r="G1135" s="5"/>
      <c r="H1135" s="5"/>
      <c r="I1135" s="5"/>
      <c r="J1135" s="5"/>
    </row>
    <row r="1136" spans="1:10" ht="14.1" customHeight="1" thickBot="1" x14ac:dyDescent="0.25">
      <c r="A1136" s="82" t="s">
        <v>14828</v>
      </c>
      <c r="B1136" s="62" t="s">
        <v>8528</v>
      </c>
      <c r="C1136" s="71">
        <v>44378</v>
      </c>
      <c r="D1136" s="82" t="s">
        <v>9385</v>
      </c>
      <c r="E1136" s="62" t="s">
        <v>13092</v>
      </c>
      <c r="F1136" s="61" t="s">
        <v>3080</v>
      </c>
      <c r="G1136" s="5"/>
      <c r="H1136" s="5"/>
      <c r="I1136" s="5"/>
      <c r="J1136" s="5"/>
    </row>
    <row r="1137" spans="1:10" ht="14.1" customHeight="1" thickBot="1" x14ac:dyDescent="0.25">
      <c r="A1137" s="83"/>
      <c r="B1137" s="62" t="s">
        <v>1786</v>
      </c>
      <c r="C1137" s="60">
        <f>IF(C1136="","",IF(AND(MONTH(C1136)&gt;=1,MONTH(C1136)&lt;=3),1,IF(AND(MONTH(C1136)&gt;=4,MONTH(C1136)&lt;=6),2,IF(AND(MONTH(C1136)&gt;=7,MONTH(C1136)&lt;=9),3,4))))</f>
        <v>3</v>
      </c>
      <c r="D1137" s="83"/>
      <c r="E1137" s="62" t="s">
        <v>2417</v>
      </c>
      <c r="F1137" s="61" t="s">
        <v>11111</v>
      </c>
      <c r="G1137" s="5"/>
      <c r="H1137" s="5"/>
      <c r="I1137" s="5"/>
      <c r="J1137" s="5"/>
    </row>
    <row r="1138" spans="1:10" ht="14.1" customHeight="1" thickBot="1" x14ac:dyDescent="0.25">
      <c r="A1138" s="83"/>
      <c r="B1138" s="62" t="s">
        <v>12941</v>
      </c>
      <c r="C1138" s="71">
        <v>44379</v>
      </c>
      <c r="D1138" s="83"/>
      <c r="E1138" s="62" t="s">
        <v>3073</v>
      </c>
      <c r="F1138" s="61" t="s">
        <v>11111</v>
      </c>
      <c r="G1138" s="5"/>
      <c r="H1138" s="5"/>
      <c r="I1138" s="5"/>
      <c r="J1138" s="5"/>
    </row>
    <row r="1139" spans="1:10" ht="14.1" customHeight="1" thickBot="1" x14ac:dyDescent="0.25">
      <c r="A1139" s="83"/>
      <c r="B1139" s="62" t="s">
        <v>1786</v>
      </c>
      <c r="C1139" s="60">
        <f>IF(C1138="","",IF(AND(MONTH(C1138)&gt;=1,MONTH(C1138)&lt;=3),1,IF(AND(MONTH(C1138)&gt;=4,MONTH(C1138)&lt;=6),2,IF(AND(MONTH(C1138)&gt;=7,MONTH(C1138)&lt;=9),3,4))))</f>
        <v>3</v>
      </c>
      <c r="D1139" s="83"/>
      <c r="E1139" s="62" t="s">
        <v>13191</v>
      </c>
      <c r="F1139" s="61" t="s">
        <v>11111</v>
      </c>
      <c r="G1139" s="5"/>
      <c r="H1139" s="5"/>
      <c r="I1139" s="5"/>
      <c r="J1139" s="5"/>
    </row>
    <row r="1140" spans="1:10" ht="14.1" customHeight="1" thickBot="1" x14ac:dyDescent="0.25">
      <c r="A1140" s="5"/>
      <c r="B1140" s="5"/>
      <c r="C1140" s="5"/>
      <c r="D1140" s="5"/>
      <c r="E1140" s="5"/>
      <c r="F1140" s="5"/>
      <c r="G1140" s="5"/>
      <c r="H1140" s="5"/>
      <c r="I1140" s="5"/>
      <c r="J1140" s="5"/>
    </row>
    <row r="1141" spans="1:10" ht="14.1" customHeight="1" thickBot="1" x14ac:dyDescent="0.25">
      <c r="A1141" s="67" t="s">
        <v>15735</v>
      </c>
      <c r="B1141" s="67" t="s">
        <v>16146</v>
      </c>
      <c r="C1141" s="67" t="s">
        <v>15641</v>
      </c>
      <c r="D1141" s="67" t="s">
        <v>15251</v>
      </c>
      <c r="E1141" s="67" t="s">
        <v>6932</v>
      </c>
      <c r="F1141" s="67" t="s">
        <v>15280</v>
      </c>
      <c r="G1141" s="5"/>
      <c r="H1141" s="5"/>
      <c r="I1141" s="5"/>
      <c r="J1141" s="5"/>
    </row>
    <row r="1142" spans="1:10" ht="13.5" customHeight="1" x14ac:dyDescent="0.2">
      <c r="A1142" s="63">
        <v>25172504</v>
      </c>
      <c r="B1142" s="64" t="str">
        <f ca="1">IFERROR(INDEX(UNSPSCDes,MATCH(INDIRECT(ADDRESS(ROW(),COLUMN()-1,4)),UNSPSCCode,0)),"")</f>
        <v>Llantas para automóviles o camionetas</v>
      </c>
      <c r="C1142" s="63" t="s">
        <v>1449</v>
      </c>
      <c r="D1142" s="63">
        <v>1</v>
      </c>
      <c r="E1142" s="66">
        <v>75000</v>
      </c>
      <c r="F1142" s="65">
        <f ca="1">INDIRECT(ADDRESS(ROW(),COLUMN()-2,4))*INDIRECT(ADDRESS(ROW(),COLUMN()-1,4))</f>
        <v>75000</v>
      </c>
      <c r="G1142" s="5"/>
      <c r="H1142" s="5"/>
      <c r="I1142" s="5"/>
      <c r="J1142" s="5"/>
    </row>
    <row r="1143" spans="1:10" ht="14.1" customHeight="1" x14ac:dyDescent="0.2">
      <c r="A1143" s="5"/>
      <c r="B1143" s="5"/>
      <c r="C1143" s="5"/>
      <c r="D1143" s="5"/>
      <c r="E1143" s="68" t="s">
        <v>12549</v>
      </c>
      <c r="F1143" s="69">
        <f ca="1">SUM(Table3104[MONTO TOTAL ESTIMADO])</f>
        <v>75000</v>
      </c>
      <c r="G1143" s="5"/>
      <c r="H1143" s="5" t="str">
        <f>C1135</f>
        <v>Bienes</v>
      </c>
      <c r="I1143" s="5" t="str">
        <f>E1135</f>
        <v>Sí</v>
      </c>
      <c r="J1143" s="5" t="str">
        <f>D1135</f>
        <v>Compras por debajo del Umbral</v>
      </c>
    </row>
    <row r="1144" spans="1:10" ht="14.1" customHeight="1" thickBot="1" x14ac:dyDescent="0.3"/>
    <row r="1145" spans="1:10" ht="33.75" customHeight="1" thickBot="1" x14ac:dyDescent="0.25">
      <c r="A1145" s="59" t="s">
        <v>16382</v>
      </c>
      <c r="B1145" s="59" t="s">
        <v>161</v>
      </c>
      <c r="C1145" s="59" t="s">
        <v>11723</v>
      </c>
      <c r="D1145" s="59" t="s">
        <v>14377</v>
      </c>
      <c r="E1145" s="59" t="s">
        <v>10961</v>
      </c>
      <c r="F1145" s="59" t="s">
        <v>11094</v>
      </c>
      <c r="G1145" s="5"/>
      <c r="H1145" s="5"/>
      <c r="I1145" s="5"/>
      <c r="J1145" s="5"/>
    </row>
    <row r="1146" spans="1:10" ht="14.1" customHeight="1" thickBot="1" x14ac:dyDescent="0.25">
      <c r="A1146" s="61" t="s">
        <v>18891</v>
      </c>
      <c r="B1146" s="61" t="s">
        <v>18892</v>
      </c>
      <c r="C1146" s="61" t="s">
        <v>17798</v>
      </c>
      <c r="D1146" s="61" t="s">
        <v>10170</v>
      </c>
      <c r="E1146" s="61" t="s">
        <v>8854</v>
      </c>
      <c r="F1146" s="61"/>
      <c r="G1146" s="5"/>
      <c r="H1146" s="5"/>
      <c r="I1146" s="5"/>
      <c r="J1146" s="5"/>
    </row>
    <row r="1147" spans="1:10" ht="14.1" customHeight="1" thickBot="1" x14ac:dyDescent="0.25">
      <c r="A1147" s="82" t="s">
        <v>14828</v>
      </c>
      <c r="B1147" s="62" t="s">
        <v>8528</v>
      </c>
      <c r="C1147" s="71">
        <v>44470</v>
      </c>
      <c r="D1147" s="82" t="s">
        <v>9385</v>
      </c>
      <c r="E1147" s="62" t="s">
        <v>13092</v>
      </c>
      <c r="F1147" s="61" t="s">
        <v>3080</v>
      </c>
      <c r="G1147" s="5"/>
      <c r="H1147" s="5"/>
      <c r="I1147" s="5"/>
      <c r="J1147" s="5"/>
    </row>
    <row r="1148" spans="1:10" ht="14.1" customHeight="1" thickBot="1" x14ac:dyDescent="0.25">
      <c r="A1148" s="83"/>
      <c r="B1148" s="62" t="s">
        <v>1786</v>
      </c>
      <c r="C1148" s="60">
        <f>IF(C1147="","",IF(AND(MONTH(C1147)&gt;=1,MONTH(C1147)&lt;=3),1,IF(AND(MONTH(C1147)&gt;=4,MONTH(C1147)&lt;=6),2,IF(AND(MONTH(C1147)&gt;=7,MONTH(C1147)&lt;=9),3,4))))</f>
        <v>4</v>
      </c>
      <c r="D1148" s="83"/>
      <c r="E1148" s="62" t="s">
        <v>2417</v>
      </c>
      <c r="F1148" s="61" t="s">
        <v>11111</v>
      </c>
      <c r="G1148" s="5"/>
      <c r="H1148" s="5"/>
      <c r="I1148" s="5"/>
      <c r="J1148" s="5"/>
    </row>
    <row r="1149" spans="1:10" ht="14.1" customHeight="1" thickBot="1" x14ac:dyDescent="0.25">
      <c r="A1149" s="83"/>
      <c r="B1149" s="62" t="s">
        <v>12941</v>
      </c>
      <c r="C1149" s="71">
        <v>44473</v>
      </c>
      <c r="D1149" s="83"/>
      <c r="E1149" s="62" t="s">
        <v>3073</v>
      </c>
      <c r="F1149" s="61" t="s">
        <v>11111</v>
      </c>
      <c r="G1149" s="5"/>
      <c r="H1149" s="5"/>
      <c r="I1149" s="5"/>
      <c r="J1149" s="5"/>
    </row>
    <row r="1150" spans="1:10" ht="14.1" customHeight="1" thickBot="1" x14ac:dyDescent="0.25">
      <c r="A1150" s="83"/>
      <c r="B1150" s="62" t="s">
        <v>1786</v>
      </c>
      <c r="C1150" s="60">
        <f>IF(C1149="","",IF(AND(MONTH(C1149)&gt;=1,MONTH(C1149)&lt;=3),1,IF(AND(MONTH(C1149)&gt;=4,MONTH(C1149)&lt;=6),2,IF(AND(MONTH(C1149)&gt;=7,MONTH(C1149)&lt;=9),3,4))))</f>
        <v>4</v>
      </c>
      <c r="D1150" s="83"/>
      <c r="E1150" s="62" t="s">
        <v>13191</v>
      </c>
      <c r="F1150" s="61" t="s">
        <v>11111</v>
      </c>
      <c r="G1150" s="5"/>
      <c r="H1150" s="5"/>
      <c r="I1150" s="5"/>
      <c r="J1150" s="5"/>
    </row>
    <row r="1151" spans="1:10" ht="14.1" customHeight="1" thickBot="1" x14ac:dyDescent="0.25">
      <c r="A1151" s="5"/>
      <c r="B1151" s="5"/>
      <c r="C1151" s="5"/>
      <c r="D1151" s="5"/>
      <c r="E1151" s="5"/>
      <c r="F1151" s="5"/>
      <c r="G1151" s="5"/>
      <c r="H1151" s="5"/>
      <c r="I1151" s="5"/>
      <c r="J1151" s="5"/>
    </row>
    <row r="1152" spans="1:10" ht="14.1" customHeight="1" thickBot="1" x14ac:dyDescent="0.25">
      <c r="A1152" s="67" t="s">
        <v>15735</v>
      </c>
      <c r="B1152" s="67" t="s">
        <v>16146</v>
      </c>
      <c r="C1152" s="67" t="s">
        <v>15641</v>
      </c>
      <c r="D1152" s="67" t="s">
        <v>15251</v>
      </c>
      <c r="E1152" s="67" t="s">
        <v>6932</v>
      </c>
      <c r="F1152" s="67" t="s">
        <v>15280</v>
      </c>
      <c r="G1152" s="5"/>
      <c r="H1152" s="5"/>
      <c r="I1152" s="5"/>
      <c r="J1152" s="5"/>
    </row>
    <row r="1153" spans="1:10" ht="13.5" customHeight="1" x14ac:dyDescent="0.2">
      <c r="A1153" s="63">
        <v>25172504</v>
      </c>
      <c r="B1153" s="64" t="str">
        <f ca="1">IFERROR(INDEX(UNSPSCDes,MATCH(INDIRECT(ADDRESS(ROW(),COLUMN()-1,4)),UNSPSCCode,0)),"")</f>
        <v>Llantas para automóviles o camionetas</v>
      </c>
      <c r="C1153" s="63" t="s">
        <v>1449</v>
      </c>
      <c r="D1153" s="63">
        <v>1</v>
      </c>
      <c r="E1153" s="66">
        <v>75000</v>
      </c>
      <c r="F1153" s="65">
        <f ca="1">INDIRECT(ADDRESS(ROW(),COLUMN()-2,4))*INDIRECT(ADDRESS(ROW(),COLUMN()-1,4))</f>
        <v>75000</v>
      </c>
      <c r="G1153" s="5"/>
      <c r="H1153" s="5"/>
      <c r="I1153" s="5"/>
      <c r="J1153" s="5"/>
    </row>
    <row r="1154" spans="1:10" ht="14.1" customHeight="1" x14ac:dyDescent="0.2">
      <c r="A1154" s="5"/>
      <c r="B1154" s="5"/>
      <c r="C1154" s="5"/>
      <c r="D1154" s="5"/>
      <c r="E1154" s="68" t="s">
        <v>12549</v>
      </c>
      <c r="F1154" s="69">
        <f ca="1">SUM(Table3105[MONTO TOTAL ESTIMADO])</f>
        <v>75000</v>
      </c>
      <c r="G1154" s="5"/>
      <c r="H1154" s="5" t="str">
        <f>C1146</f>
        <v>Bienes</v>
      </c>
      <c r="I1154" s="5" t="str">
        <f>E1146</f>
        <v>Sí</v>
      </c>
      <c r="J1154" s="5" t="str">
        <f>D1146</f>
        <v>Compras por debajo del Umbral</v>
      </c>
    </row>
    <row r="1155" spans="1:10" ht="14.1" customHeight="1" thickBot="1" x14ac:dyDescent="0.3"/>
    <row r="1156" spans="1:10" ht="33.75" customHeight="1" thickBot="1" x14ac:dyDescent="0.25">
      <c r="A1156" s="59" t="s">
        <v>16382</v>
      </c>
      <c r="B1156" s="59" t="s">
        <v>161</v>
      </c>
      <c r="C1156" s="59" t="s">
        <v>11723</v>
      </c>
      <c r="D1156" s="59" t="s">
        <v>14377</v>
      </c>
      <c r="E1156" s="59" t="s">
        <v>10961</v>
      </c>
      <c r="F1156" s="59" t="s">
        <v>11094</v>
      </c>
      <c r="G1156" s="5"/>
      <c r="H1156" s="5"/>
      <c r="I1156" s="5"/>
      <c r="J1156" s="5"/>
    </row>
    <row r="1157" spans="1:10" ht="14.1" customHeight="1" thickBot="1" x14ac:dyDescent="0.25">
      <c r="A1157" s="61" t="s">
        <v>18893</v>
      </c>
      <c r="B1157" s="61" t="s">
        <v>18894</v>
      </c>
      <c r="C1157" s="61" t="s">
        <v>17798</v>
      </c>
      <c r="D1157" s="61" t="s">
        <v>10170</v>
      </c>
      <c r="E1157" s="61" t="s">
        <v>8854</v>
      </c>
      <c r="F1157" s="61"/>
      <c r="G1157" s="5"/>
      <c r="H1157" s="5"/>
      <c r="I1157" s="5"/>
      <c r="J1157" s="5"/>
    </row>
    <row r="1158" spans="1:10" ht="14.1" customHeight="1" thickBot="1" x14ac:dyDescent="0.25">
      <c r="A1158" s="82" t="s">
        <v>14828</v>
      </c>
      <c r="B1158" s="62" t="s">
        <v>8528</v>
      </c>
      <c r="C1158" s="71">
        <v>44197</v>
      </c>
      <c r="D1158" s="82" t="s">
        <v>9385</v>
      </c>
      <c r="E1158" s="62" t="s">
        <v>13092</v>
      </c>
      <c r="F1158" s="61" t="s">
        <v>3080</v>
      </c>
      <c r="G1158" s="5"/>
      <c r="H1158" s="5"/>
      <c r="I1158" s="5"/>
      <c r="J1158" s="5"/>
    </row>
    <row r="1159" spans="1:10" ht="14.1" customHeight="1" thickBot="1" x14ac:dyDescent="0.25">
      <c r="A1159" s="83"/>
      <c r="B1159" s="62" t="s">
        <v>1786</v>
      </c>
      <c r="C1159" s="60">
        <f>IF(C1158="","",IF(AND(MONTH(C1158)&gt;=1,MONTH(C1158)&lt;=3),1,IF(AND(MONTH(C1158)&gt;=4,MONTH(C1158)&lt;=6),2,IF(AND(MONTH(C1158)&gt;=7,MONTH(C1158)&lt;=9),3,4))))</f>
        <v>1</v>
      </c>
      <c r="D1159" s="83"/>
      <c r="E1159" s="62" t="s">
        <v>2417</v>
      </c>
      <c r="F1159" s="61" t="s">
        <v>11111</v>
      </c>
      <c r="G1159" s="5"/>
      <c r="H1159" s="5"/>
      <c r="I1159" s="5"/>
      <c r="J1159" s="5"/>
    </row>
    <row r="1160" spans="1:10" ht="14.1" customHeight="1" thickBot="1" x14ac:dyDescent="0.25">
      <c r="A1160" s="83"/>
      <c r="B1160" s="62" t="s">
        <v>12941</v>
      </c>
      <c r="C1160" s="71">
        <v>44198</v>
      </c>
      <c r="D1160" s="83"/>
      <c r="E1160" s="62" t="s">
        <v>3073</v>
      </c>
      <c r="F1160" s="61" t="s">
        <v>11111</v>
      </c>
      <c r="G1160" s="5"/>
      <c r="H1160" s="5"/>
      <c r="I1160" s="5"/>
      <c r="J1160" s="5"/>
    </row>
    <row r="1161" spans="1:10" ht="14.1" customHeight="1" thickBot="1" x14ac:dyDescent="0.25">
      <c r="A1161" s="83"/>
      <c r="B1161" s="62" t="s">
        <v>1786</v>
      </c>
      <c r="C1161" s="60">
        <f>IF(C1160="","",IF(AND(MONTH(C1160)&gt;=1,MONTH(C1160)&lt;=3),1,IF(AND(MONTH(C1160)&gt;=4,MONTH(C1160)&lt;=6),2,IF(AND(MONTH(C1160)&gt;=7,MONTH(C1160)&lt;=9),3,4))))</f>
        <v>1</v>
      </c>
      <c r="D1161" s="83"/>
      <c r="E1161" s="62" t="s">
        <v>13191</v>
      </c>
      <c r="F1161" s="61" t="s">
        <v>11111</v>
      </c>
      <c r="G1161" s="5"/>
      <c r="H1161" s="5"/>
      <c r="I1161" s="5"/>
      <c r="J1161" s="5"/>
    </row>
    <row r="1162" spans="1:10" ht="14.1" customHeight="1" thickBot="1" x14ac:dyDescent="0.25">
      <c r="A1162" s="5"/>
      <c r="B1162" s="5"/>
      <c r="C1162" s="5"/>
      <c r="D1162" s="5"/>
      <c r="E1162" s="5"/>
      <c r="F1162" s="5"/>
      <c r="G1162" s="5"/>
      <c r="H1162" s="5"/>
      <c r="I1162" s="5"/>
      <c r="J1162" s="5"/>
    </row>
    <row r="1163" spans="1:10" ht="14.1" customHeight="1" thickBot="1" x14ac:dyDescent="0.25">
      <c r="A1163" s="67" t="s">
        <v>15735</v>
      </c>
      <c r="B1163" s="67" t="s">
        <v>16146</v>
      </c>
      <c r="C1163" s="67" t="s">
        <v>15641</v>
      </c>
      <c r="D1163" s="67" t="s">
        <v>15251</v>
      </c>
      <c r="E1163" s="67" t="s">
        <v>6932</v>
      </c>
      <c r="F1163" s="67" t="s">
        <v>15280</v>
      </c>
      <c r="G1163" s="5"/>
      <c r="H1163" s="5"/>
      <c r="I1163" s="5"/>
      <c r="J1163" s="5"/>
    </row>
    <row r="1164" spans="1:10" ht="13.5" customHeight="1" x14ac:dyDescent="0.2">
      <c r="A1164" s="77">
        <v>24121807</v>
      </c>
      <c r="B1164" s="64" t="str">
        <f ca="1">IFERROR(INDEX(UNSPSCDes,MATCH(INDIRECT(ADDRESS(ROW(),COLUMN()-1,4)),UNSPSCCode,0)),"")</f>
        <v>Recipientes de plástico</v>
      </c>
      <c r="C1164" s="63" t="s">
        <v>1449</v>
      </c>
      <c r="D1164" s="63">
        <v>1</v>
      </c>
      <c r="E1164" s="66">
        <v>62500</v>
      </c>
      <c r="F1164" s="65">
        <f ca="1">INDIRECT(ADDRESS(ROW(),COLUMN()-2,4))*INDIRECT(ADDRESS(ROW(),COLUMN()-1,4))</f>
        <v>62500</v>
      </c>
      <c r="G1164" s="5"/>
      <c r="H1164" s="5"/>
      <c r="I1164" s="5"/>
      <c r="J1164" s="5"/>
    </row>
    <row r="1165" spans="1:10" ht="14.1" customHeight="1" x14ac:dyDescent="0.2">
      <c r="A1165" s="5"/>
      <c r="B1165" s="5"/>
      <c r="C1165" s="5"/>
      <c r="D1165" s="5"/>
      <c r="E1165" s="68" t="s">
        <v>12549</v>
      </c>
      <c r="F1165" s="69">
        <f ca="1">SUM(Table3106[MONTO TOTAL ESTIMADO])</f>
        <v>62500</v>
      </c>
      <c r="G1165" s="5"/>
      <c r="H1165" s="5" t="str">
        <f>C1157</f>
        <v>Bienes</v>
      </c>
      <c r="I1165" s="5" t="str">
        <f>E1157</f>
        <v>Sí</v>
      </c>
      <c r="J1165" s="5" t="str">
        <f>D1157</f>
        <v>Compras por debajo del Umbral</v>
      </c>
    </row>
    <row r="1166" spans="1:10" ht="14.1" customHeight="1" thickBot="1" x14ac:dyDescent="0.3"/>
    <row r="1167" spans="1:10" ht="33.75" customHeight="1" thickBot="1" x14ac:dyDescent="0.25">
      <c r="A1167" s="59" t="s">
        <v>16382</v>
      </c>
      <c r="B1167" s="59" t="s">
        <v>161</v>
      </c>
      <c r="C1167" s="59" t="s">
        <v>11723</v>
      </c>
      <c r="D1167" s="59" t="s">
        <v>14377</v>
      </c>
      <c r="E1167" s="59" t="s">
        <v>10961</v>
      </c>
      <c r="F1167" s="59" t="s">
        <v>11094</v>
      </c>
      <c r="G1167" s="5"/>
      <c r="H1167" s="5"/>
      <c r="I1167" s="5"/>
      <c r="J1167" s="5"/>
    </row>
    <row r="1168" spans="1:10" ht="14.1" customHeight="1" thickBot="1" x14ac:dyDescent="0.25">
      <c r="A1168" s="61" t="s">
        <v>18893</v>
      </c>
      <c r="B1168" s="61" t="s">
        <v>18894</v>
      </c>
      <c r="C1168" s="61" t="s">
        <v>17798</v>
      </c>
      <c r="D1168" s="61" t="s">
        <v>10170</v>
      </c>
      <c r="E1168" s="61" t="s">
        <v>8854</v>
      </c>
      <c r="F1168" s="61"/>
      <c r="G1168" s="5"/>
      <c r="H1168" s="5"/>
      <c r="I1168" s="5"/>
      <c r="J1168" s="5"/>
    </row>
    <row r="1169" spans="1:10" ht="14.1" customHeight="1" thickBot="1" x14ac:dyDescent="0.25">
      <c r="A1169" s="82" t="s">
        <v>14828</v>
      </c>
      <c r="B1169" s="62" t="s">
        <v>8528</v>
      </c>
      <c r="C1169" s="71">
        <v>44287</v>
      </c>
      <c r="D1169" s="82" t="s">
        <v>9385</v>
      </c>
      <c r="E1169" s="62" t="s">
        <v>13092</v>
      </c>
      <c r="F1169" s="61" t="s">
        <v>3080</v>
      </c>
      <c r="G1169" s="5"/>
      <c r="H1169" s="5"/>
      <c r="I1169" s="5"/>
      <c r="J1169" s="5"/>
    </row>
    <row r="1170" spans="1:10" ht="14.1" customHeight="1" thickBot="1" x14ac:dyDescent="0.25">
      <c r="A1170" s="83"/>
      <c r="B1170" s="62" t="s">
        <v>1786</v>
      </c>
      <c r="C1170" s="60">
        <f>IF(C1169="","",IF(AND(MONTH(C1169)&gt;=1,MONTH(C1169)&lt;=3),1,IF(AND(MONTH(C1169)&gt;=4,MONTH(C1169)&lt;=6),2,IF(AND(MONTH(C1169)&gt;=7,MONTH(C1169)&lt;=9),3,4))))</f>
        <v>2</v>
      </c>
      <c r="D1170" s="83"/>
      <c r="E1170" s="62" t="s">
        <v>2417</v>
      </c>
      <c r="F1170" s="61" t="s">
        <v>11111</v>
      </c>
      <c r="G1170" s="5"/>
      <c r="H1170" s="5"/>
      <c r="I1170" s="5"/>
      <c r="J1170" s="5"/>
    </row>
    <row r="1171" spans="1:10" ht="14.1" customHeight="1" thickBot="1" x14ac:dyDescent="0.25">
      <c r="A1171" s="83"/>
      <c r="B1171" s="62" t="s">
        <v>12941</v>
      </c>
      <c r="C1171" s="71">
        <v>44288</v>
      </c>
      <c r="D1171" s="83"/>
      <c r="E1171" s="62" t="s">
        <v>3073</v>
      </c>
      <c r="F1171" s="61" t="s">
        <v>11111</v>
      </c>
      <c r="G1171" s="5"/>
      <c r="H1171" s="5"/>
      <c r="I1171" s="5"/>
      <c r="J1171" s="5"/>
    </row>
    <row r="1172" spans="1:10" ht="14.1" customHeight="1" thickBot="1" x14ac:dyDescent="0.25">
      <c r="A1172" s="83"/>
      <c r="B1172" s="62" t="s">
        <v>1786</v>
      </c>
      <c r="C1172" s="60">
        <f>IF(C1171="","",IF(AND(MONTH(C1171)&gt;=1,MONTH(C1171)&lt;=3),1,IF(AND(MONTH(C1171)&gt;=4,MONTH(C1171)&lt;=6),2,IF(AND(MONTH(C1171)&gt;=7,MONTH(C1171)&lt;=9),3,4))))</f>
        <v>2</v>
      </c>
      <c r="D1172" s="83"/>
      <c r="E1172" s="62" t="s">
        <v>13191</v>
      </c>
      <c r="F1172" s="61" t="s">
        <v>11111</v>
      </c>
      <c r="G1172" s="5"/>
      <c r="H1172" s="5"/>
      <c r="I1172" s="5"/>
      <c r="J1172" s="5"/>
    </row>
    <row r="1173" spans="1:10" ht="14.1" customHeight="1" thickBot="1" x14ac:dyDescent="0.25">
      <c r="A1173" s="5"/>
      <c r="B1173" s="5"/>
      <c r="C1173" s="5"/>
      <c r="D1173" s="5"/>
      <c r="E1173" s="5"/>
      <c r="F1173" s="5"/>
      <c r="G1173" s="5"/>
      <c r="H1173" s="5"/>
      <c r="I1173" s="5"/>
      <c r="J1173" s="5"/>
    </row>
    <row r="1174" spans="1:10" ht="14.1" customHeight="1" thickBot="1" x14ac:dyDescent="0.25">
      <c r="A1174" s="67" t="s">
        <v>15735</v>
      </c>
      <c r="B1174" s="67" t="s">
        <v>16146</v>
      </c>
      <c r="C1174" s="67" t="s">
        <v>15641</v>
      </c>
      <c r="D1174" s="67" t="s">
        <v>15251</v>
      </c>
      <c r="E1174" s="67" t="s">
        <v>6932</v>
      </c>
      <c r="F1174" s="67" t="s">
        <v>15280</v>
      </c>
      <c r="G1174" s="5"/>
      <c r="H1174" s="5"/>
      <c r="I1174" s="5"/>
      <c r="J1174" s="5"/>
    </row>
    <row r="1175" spans="1:10" ht="13.5" customHeight="1" x14ac:dyDescent="0.2">
      <c r="A1175" s="77">
        <v>24121807</v>
      </c>
      <c r="B1175" s="64" t="str">
        <f ca="1">IFERROR(INDEX(UNSPSCDes,MATCH(INDIRECT(ADDRESS(ROW(),COLUMN()-1,4)),UNSPSCCode,0)),"")</f>
        <v>Recipientes de plástico</v>
      </c>
      <c r="C1175" s="63" t="s">
        <v>1449</v>
      </c>
      <c r="D1175" s="63">
        <v>1</v>
      </c>
      <c r="E1175" s="66">
        <v>62500</v>
      </c>
      <c r="F1175" s="65">
        <f ca="1">INDIRECT(ADDRESS(ROW(),COLUMN()-2,4))*INDIRECT(ADDRESS(ROW(),COLUMN()-1,4))</f>
        <v>62500</v>
      </c>
      <c r="G1175" s="5"/>
      <c r="H1175" s="5"/>
      <c r="I1175" s="5"/>
      <c r="J1175" s="5"/>
    </row>
    <row r="1176" spans="1:10" ht="13.5" customHeight="1" x14ac:dyDescent="0.2">
      <c r="A1176" s="77">
        <v>49101704</v>
      </c>
      <c r="B1176" s="64" t="str">
        <f ca="1">IFERROR(INDEX(UNSPSCDes,MATCH(INDIRECT(ADDRESS(ROW(),COLUMN()-1,4)),UNSPSCCode,0)),"")</f>
        <v>Placas</v>
      </c>
      <c r="C1176" s="63" t="s">
        <v>1449</v>
      </c>
      <c r="D1176" s="63">
        <v>3</v>
      </c>
      <c r="E1176" s="66">
        <v>7080</v>
      </c>
      <c r="F1176" s="65">
        <f ca="1">INDIRECT(ADDRESS(ROW(),COLUMN()-2,4))*INDIRECT(ADDRESS(ROW(),COLUMN()-1,4))</f>
        <v>21240</v>
      </c>
      <c r="G1176" s="5"/>
      <c r="H1176" s="5"/>
      <c r="I1176" s="5"/>
      <c r="J1176" s="5"/>
    </row>
    <row r="1177" spans="1:10" ht="14.1" customHeight="1" x14ac:dyDescent="0.2">
      <c r="A1177" s="5"/>
      <c r="B1177" s="5"/>
      <c r="C1177" s="5"/>
      <c r="D1177" s="5"/>
      <c r="E1177" s="68" t="s">
        <v>12549</v>
      </c>
      <c r="F1177" s="69">
        <f ca="1">SUM(Table3107[MONTO TOTAL ESTIMADO])</f>
        <v>83740</v>
      </c>
      <c r="G1177" s="5"/>
      <c r="H1177" s="5" t="str">
        <f>C1168</f>
        <v>Bienes</v>
      </c>
      <c r="I1177" s="5" t="str">
        <f>E1168</f>
        <v>Sí</v>
      </c>
      <c r="J1177" s="5" t="str">
        <f>D1168</f>
        <v>Compras por debajo del Umbral</v>
      </c>
    </row>
    <row r="1178" spans="1:10" ht="14.1" customHeight="1" thickBot="1" x14ac:dyDescent="0.3"/>
    <row r="1179" spans="1:10" ht="33.75" customHeight="1" thickBot="1" x14ac:dyDescent="0.25">
      <c r="A1179" s="59" t="s">
        <v>16382</v>
      </c>
      <c r="B1179" s="59" t="s">
        <v>161</v>
      </c>
      <c r="C1179" s="59" t="s">
        <v>11723</v>
      </c>
      <c r="D1179" s="59" t="s">
        <v>14377</v>
      </c>
      <c r="E1179" s="59" t="s">
        <v>10961</v>
      </c>
      <c r="F1179" s="59" t="s">
        <v>11094</v>
      </c>
      <c r="G1179" s="5"/>
      <c r="H1179" s="5"/>
      <c r="I1179" s="5"/>
      <c r="J1179" s="5"/>
    </row>
    <row r="1180" spans="1:10" ht="14.1" customHeight="1" thickBot="1" x14ac:dyDescent="0.25">
      <c r="A1180" s="61" t="s">
        <v>18893</v>
      </c>
      <c r="B1180" s="61" t="s">
        <v>18894</v>
      </c>
      <c r="C1180" s="61" t="s">
        <v>17798</v>
      </c>
      <c r="D1180" s="61" t="s">
        <v>10170</v>
      </c>
      <c r="E1180" s="61" t="s">
        <v>8854</v>
      </c>
      <c r="F1180" s="61"/>
      <c r="G1180" s="5"/>
      <c r="H1180" s="5"/>
      <c r="I1180" s="5"/>
      <c r="J1180" s="5"/>
    </row>
    <row r="1181" spans="1:10" ht="14.1" customHeight="1" thickBot="1" x14ac:dyDescent="0.25">
      <c r="A1181" s="82" t="s">
        <v>14828</v>
      </c>
      <c r="B1181" s="62" t="s">
        <v>8528</v>
      </c>
      <c r="C1181" s="71">
        <v>44378</v>
      </c>
      <c r="D1181" s="82" t="s">
        <v>9385</v>
      </c>
      <c r="E1181" s="62" t="s">
        <v>13092</v>
      </c>
      <c r="F1181" s="61" t="s">
        <v>3080</v>
      </c>
      <c r="G1181" s="5"/>
      <c r="H1181" s="5"/>
      <c r="I1181" s="5"/>
      <c r="J1181" s="5"/>
    </row>
    <row r="1182" spans="1:10" ht="14.1" customHeight="1" thickBot="1" x14ac:dyDescent="0.25">
      <c r="A1182" s="83"/>
      <c r="B1182" s="62" t="s">
        <v>1786</v>
      </c>
      <c r="C1182" s="60">
        <f>IF(C1181="","",IF(AND(MONTH(C1181)&gt;=1,MONTH(C1181)&lt;=3),1,IF(AND(MONTH(C1181)&gt;=4,MONTH(C1181)&lt;=6),2,IF(AND(MONTH(C1181)&gt;=7,MONTH(C1181)&lt;=9),3,4))))</f>
        <v>3</v>
      </c>
      <c r="D1182" s="83"/>
      <c r="E1182" s="62" t="s">
        <v>2417</v>
      </c>
      <c r="F1182" s="61" t="s">
        <v>11111</v>
      </c>
      <c r="G1182" s="5"/>
      <c r="H1182" s="5"/>
      <c r="I1182" s="5"/>
      <c r="J1182" s="5"/>
    </row>
    <row r="1183" spans="1:10" ht="14.1" customHeight="1" thickBot="1" x14ac:dyDescent="0.25">
      <c r="A1183" s="83"/>
      <c r="B1183" s="62" t="s">
        <v>12941</v>
      </c>
      <c r="C1183" s="71">
        <v>44379</v>
      </c>
      <c r="D1183" s="83"/>
      <c r="E1183" s="62" t="s">
        <v>3073</v>
      </c>
      <c r="F1183" s="61" t="s">
        <v>11111</v>
      </c>
      <c r="G1183" s="5"/>
      <c r="H1183" s="5"/>
      <c r="I1183" s="5"/>
      <c r="J1183" s="5"/>
    </row>
    <row r="1184" spans="1:10" ht="14.1" customHeight="1" thickBot="1" x14ac:dyDescent="0.25">
      <c r="A1184" s="83"/>
      <c r="B1184" s="62" t="s">
        <v>1786</v>
      </c>
      <c r="C1184" s="60">
        <f>IF(C1183="","",IF(AND(MONTH(C1183)&gt;=1,MONTH(C1183)&lt;=3),1,IF(AND(MONTH(C1183)&gt;=4,MONTH(C1183)&lt;=6),2,IF(AND(MONTH(C1183)&gt;=7,MONTH(C1183)&lt;=9),3,4))))</f>
        <v>3</v>
      </c>
      <c r="D1184" s="83"/>
      <c r="E1184" s="62" t="s">
        <v>13191</v>
      </c>
      <c r="F1184" s="61" t="s">
        <v>11111</v>
      </c>
      <c r="G1184" s="5"/>
      <c r="H1184" s="5"/>
      <c r="I1184" s="5"/>
      <c r="J1184" s="5"/>
    </row>
    <row r="1185" spans="1:10" ht="14.1" customHeight="1" thickBot="1" x14ac:dyDescent="0.25">
      <c r="A1185" s="5"/>
      <c r="B1185" s="5"/>
      <c r="C1185" s="5"/>
      <c r="D1185" s="5"/>
      <c r="E1185" s="5"/>
      <c r="F1185" s="5"/>
      <c r="G1185" s="5"/>
      <c r="H1185" s="5"/>
      <c r="I1185" s="5"/>
      <c r="J1185" s="5"/>
    </row>
    <row r="1186" spans="1:10" ht="14.1" customHeight="1" thickBot="1" x14ac:dyDescent="0.25">
      <c r="A1186" s="67" t="s">
        <v>15735</v>
      </c>
      <c r="B1186" s="67" t="s">
        <v>16146</v>
      </c>
      <c r="C1186" s="67" t="s">
        <v>15641</v>
      </c>
      <c r="D1186" s="67" t="s">
        <v>15251</v>
      </c>
      <c r="E1186" s="67" t="s">
        <v>6932</v>
      </c>
      <c r="F1186" s="67" t="s">
        <v>15280</v>
      </c>
      <c r="G1186" s="5"/>
      <c r="H1186" s="5"/>
      <c r="I1186" s="5"/>
      <c r="J1186" s="5"/>
    </row>
    <row r="1187" spans="1:10" ht="13.5" customHeight="1" x14ac:dyDescent="0.2">
      <c r="A1187" s="77">
        <v>24121807</v>
      </c>
      <c r="B1187" s="64" t="str">
        <f ca="1">IFERROR(INDEX(UNSPSCDes,MATCH(INDIRECT(ADDRESS(ROW(),COLUMN()-1,4)),UNSPSCCode,0)),"")</f>
        <v>Recipientes de plástico</v>
      </c>
      <c r="C1187" s="63" t="s">
        <v>1449</v>
      </c>
      <c r="D1187" s="63">
        <v>1</v>
      </c>
      <c r="E1187" s="66">
        <v>62500</v>
      </c>
      <c r="F1187" s="65">
        <f ca="1">INDIRECT(ADDRESS(ROW(),COLUMN()-2,4))*INDIRECT(ADDRESS(ROW(),COLUMN()-1,4))</f>
        <v>62500</v>
      </c>
      <c r="G1187" s="5"/>
      <c r="H1187" s="5"/>
      <c r="I1187" s="5"/>
      <c r="J1187" s="5"/>
    </row>
    <row r="1188" spans="1:10" ht="14.1" customHeight="1" x14ac:dyDescent="0.2">
      <c r="A1188" s="5"/>
      <c r="B1188" s="5"/>
      <c r="C1188" s="5"/>
      <c r="D1188" s="5"/>
      <c r="E1188" s="68" t="s">
        <v>12549</v>
      </c>
      <c r="F1188" s="69">
        <f ca="1">SUM(Table3108[MONTO TOTAL ESTIMADO])</f>
        <v>62500</v>
      </c>
      <c r="G1188" s="5"/>
      <c r="H1188" s="5" t="str">
        <f>C1180</f>
        <v>Bienes</v>
      </c>
      <c r="I1188" s="5" t="str">
        <f>E1180</f>
        <v>Sí</v>
      </c>
      <c r="J1188" s="5" t="str">
        <f>D1180</f>
        <v>Compras por debajo del Umbral</v>
      </c>
    </row>
    <row r="1189" spans="1:10" ht="14.1" customHeight="1" thickBot="1" x14ac:dyDescent="0.3"/>
    <row r="1190" spans="1:10" ht="33.75" customHeight="1" thickBot="1" x14ac:dyDescent="0.25">
      <c r="A1190" s="59" t="s">
        <v>16382</v>
      </c>
      <c r="B1190" s="59" t="s">
        <v>161</v>
      </c>
      <c r="C1190" s="59" t="s">
        <v>11723</v>
      </c>
      <c r="D1190" s="59" t="s">
        <v>14377</v>
      </c>
      <c r="E1190" s="59" t="s">
        <v>10961</v>
      </c>
      <c r="F1190" s="59" t="s">
        <v>11094</v>
      </c>
      <c r="G1190" s="5"/>
      <c r="H1190" s="5"/>
      <c r="I1190" s="5"/>
      <c r="J1190" s="5"/>
    </row>
    <row r="1191" spans="1:10" ht="14.1" customHeight="1" thickBot="1" x14ac:dyDescent="0.25">
      <c r="A1191" s="61" t="s">
        <v>18893</v>
      </c>
      <c r="B1191" s="61" t="s">
        <v>18894</v>
      </c>
      <c r="C1191" s="61" t="s">
        <v>17798</v>
      </c>
      <c r="D1191" s="61" t="s">
        <v>10170</v>
      </c>
      <c r="E1191" s="61" t="s">
        <v>8854</v>
      </c>
      <c r="F1191" s="61"/>
      <c r="G1191" s="5"/>
      <c r="H1191" s="5"/>
      <c r="I1191" s="5"/>
      <c r="J1191" s="5"/>
    </row>
    <row r="1192" spans="1:10" ht="14.1" customHeight="1" thickBot="1" x14ac:dyDescent="0.25">
      <c r="A1192" s="82" t="s">
        <v>14828</v>
      </c>
      <c r="B1192" s="62" t="s">
        <v>8528</v>
      </c>
      <c r="C1192" s="71">
        <v>44470</v>
      </c>
      <c r="D1192" s="82" t="s">
        <v>9385</v>
      </c>
      <c r="E1192" s="62" t="s">
        <v>13092</v>
      </c>
      <c r="F1192" s="61" t="s">
        <v>3080</v>
      </c>
      <c r="G1192" s="5"/>
      <c r="H1192" s="5"/>
      <c r="I1192" s="5"/>
      <c r="J1192" s="5"/>
    </row>
    <row r="1193" spans="1:10" ht="14.1" customHeight="1" thickBot="1" x14ac:dyDescent="0.25">
      <c r="A1193" s="83"/>
      <c r="B1193" s="62" t="s">
        <v>1786</v>
      </c>
      <c r="C1193" s="60">
        <f>IF(C1192="","",IF(AND(MONTH(C1192)&gt;=1,MONTH(C1192)&lt;=3),1,IF(AND(MONTH(C1192)&gt;=4,MONTH(C1192)&lt;=6),2,IF(AND(MONTH(C1192)&gt;=7,MONTH(C1192)&lt;=9),3,4))))</f>
        <v>4</v>
      </c>
      <c r="D1193" s="83"/>
      <c r="E1193" s="62" t="s">
        <v>2417</v>
      </c>
      <c r="F1193" s="61" t="s">
        <v>11111</v>
      </c>
      <c r="G1193" s="5"/>
      <c r="H1193" s="5"/>
      <c r="I1193" s="5"/>
      <c r="J1193" s="5"/>
    </row>
    <row r="1194" spans="1:10" ht="14.1" customHeight="1" thickBot="1" x14ac:dyDescent="0.25">
      <c r="A1194" s="83"/>
      <c r="B1194" s="62" t="s">
        <v>12941</v>
      </c>
      <c r="C1194" s="71">
        <v>44473</v>
      </c>
      <c r="D1194" s="83"/>
      <c r="E1194" s="62" t="s">
        <v>3073</v>
      </c>
      <c r="F1194" s="61" t="s">
        <v>11111</v>
      </c>
      <c r="G1194" s="5"/>
      <c r="H1194" s="5"/>
      <c r="I1194" s="5"/>
      <c r="J1194" s="5"/>
    </row>
    <row r="1195" spans="1:10" ht="14.1" customHeight="1" thickBot="1" x14ac:dyDescent="0.25">
      <c r="A1195" s="83"/>
      <c r="B1195" s="62" t="s">
        <v>1786</v>
      </c>
      <c r="C1195" s="60">
        <f>IF(C1194="","",IF(AND(MONTH(C1194)&gt;=1,MONTH(C1194)&lt;=3),1,IF(AND(MONTH(C1194)&gt;=4,MONTH(C1194)&lt;=6),2,IF(AND(MONTH(C1194)&gt;=7,MONTH(C1194)&lt;=9),3,4))))</f>
        <v>4</v>
      </c>
      <c r="D1195" s="83"/>
      <c r="E1195" s="62" t="s">
        <v>13191</v>
      </c>
      <c r="F1195" s="61" t="s">
        <v>11111</v>
      </c>
      <c r="G1195" s="5"/>
      <c r="H1195" s="5"/>
      <c r="I1195" s="5"/>
      <c r="J1195" s="5"/>
    </row>
    <row r="1196" spans="1:10" ht="14.1" customHeight="1" thickBot="1" x14ac:dyDescent="0.25">
      <c r="A1196" s="5"/>
      <c r="B1196" s="5"/>
      <c r="C1196" s="5"/>
      <c r="D1196" s="5"/>
      <c r="E1196" s="5"/>
      <c r="F1196" s="5"/>
      <c r="G1196" s="5"/>
      <c r="H1196" s="5"/>
      <c r="I1196" s="5"/>
      <c r="J1196" s="5"/>
    </row>
    <row r="1197" spans="1:10" ht="14.1" customHeight="1" thickBot="1" x14ac:dyDescent="0.25">
      <c r="A1197" s="67" t="s">
        <v>15735</v>
      </c>
      <c r="B1197" s="67" t="s">
        <v>16146</v>
      </c>
      <c r="C1197" s="67" t="s">
        <v>15641</v>
      </c>
      <c r="D1197" s="67" t="s">
        <v>15251</v>
      </c>
      <c r="E1197" s="67" t="s">
        <v>6932</v>
      </c>
      <c r="F1197" s="67" t="s">
        <v>15280</v>
      </c>
      <c r="G1197" s="5"/>
      <c r="H1197" s="5"/>
      <c r="I1197" s="5"/>
      <c r="J1197" s="5"/>
    </row>
    <row r="1198" spans="1:10" ht="13.5" customHeight="1" x14ac:dyDescent="0.2">
      <c r="A1198" s="77">
        <v>24121807</v>
      </c>
      <c r="B1198" s="64" t="str">
        <f ca="1">IFERROR(INDEX(UNSPSCDes,MATCH(INDIRECT(ADDRESS(ROW(),COLUMN()-1,4)),UNSPSCCode,0)),"")</f>
        <v>Recipientes de plástico</v>
      </c>
      <c r="C1198" s="63" t="s">
        <v>1449</v>
      </c>
      <c r="D1198" s="63">
        <v>1</v>
      </c>
      <c r="E1198" s="66">
        <v>62500</v>
      </c>
      <c r="F1198" s="65">
        <f ca="1">INDIRECT(ADDRESS(ROW(),COLUMN()-2,4))*INDIRECT(ADDRESS(ROW(),COLUMN()-1,4))</f>
        <v>62500</v>
      </c>
      <c r="G1198" s="5"/>
      <c r="H1198" s="5"/>
      <c r="I1198" s="5"/>
      <c r="J1198" s="5"/>
    </row>
    <row r="1199" spans="1:10" ht="14.1" customHeight="1" x14ac:dyDescent="0.2">
      <c r="A1199" s="5"/>
      <c r="B1199" s="5"/>
      <c r="C1199" s="5"/>
      <c r="D1199" s="5"/>
      <c r="E1199" s="68" t="s">
        <v>12549</v>
      </c>
      <c r="F1199" s="69">
        <f ca="1">SUM(Table3109[MONTO TOTAL ESTIMADO])</f>
        <v>62500</v>
      </c>
      <c r="G1199" s="5"/>
      <c r="H1199" s="5" t="str">
        <f>C1191</f>
        <v>Bienes</v>
      </c>
      <c r="I1199" s="5" t="str">
        <f>E1191</f>
        <v>Sí</v>
      </c>
      <c r="J1199" s="5" t="str">
        <f>D1191</f>
        <v>Compras por debajo del Umbral</v>
      </c>
    </row>
    <row r="1200" spans="1:10" ht="14.1" customHeight="1" thickBot="1" x14ac:dyDescent="0.3"/>
    <row r="1201" spans="1:10" ht="33.75" customHeight="1" thickBot="1" x14ac:dyDescent="0.25">
      <c r="A1201" s="59" t="s">
        <v>16382</v>
      </c>
      <c r="B1201" s="59" t="s">
        <v>161</v>
      </c>
      <c r="C1201" s="59" t="s">
        <v>11723</v>
      </c>
      <c r="D1201" s="59" t="s">
        <v>14377</v>
      </c>
      <c r="E1201" s="59" t="s">
        <v>10961</v>
      </c>
      <c r="F1201" s="59" t="s">
        <v>11094</v>
      </c>
      <c r="G1201" s="5"/>
      <c r="H1201" s="5"/>
      <c r="I1201" s="5"/>
      <c r="J1201" s="5"/>
    </row>
    <row r="1202" spans="1:10" ht="13.5" customHeight="1" thickBot="1" x14ac:dyDescent="0.25">
      <c r="A1202" s="61" t="s">
        <v>18895</v>
      </c>
      <c r="B1202" s="61" t="s">
        <v>18896</v>
      </c>
      <c r="C1202" s="61" t="s">
        <v>17798</v>
      </c>
      <c r="D1202" s="61" t="s">
        <v>10170</v>
      </c>
      <c r="E1202" s="61" t="s">
        <v>8854</v>
      </c>
      <c r="F1202" s="61"/>
      <c r="G1202" s="5"/>
      <c r="H1202" s="5"/>
      <c r="I1202" s="5"/>
      <c r="J1202" s="5"/>
    </row>
    <row r="1203" spans="1:10" ht="14.1" customHeight="1" thickBot="1" x14ac:dyDescent="0.25">
      <c r="A1203" s="82" t="s">
        <v>14828</v>
      </c>
      <c r="B1203" s="62" t="s">
        <v>8528</v>
      </c>
      <c r="C1203" s="71">
        <v>44287</v>
      </c>
      <c r="D1203" s="82" t="s">
        <v>9385</v>
      </c>
      <c r="E1203" s="62" t="s">
        <v>13092</v>
      </c>
      <c r="F1203" s="61" t="s">
        <v>3080</v>
      </c>
      <c r="G1203" s="5"/>
      <c r="H1203" s="5"/>
      <c r="I1203" s="5"/>
      <c r="J1203" s="5"/>
    </row>
    <row r="1204" spans="1:10" ht="14.1" customHeight="1" thickBot="1" x14ac:dyDescent="0.25">
      <c r="A1204" s="83"/>
      <c r="B1204" s="62" t="s">
        <v>1786</v>
      </c>
      <c r="C1204" s="60">
        <f>IF(C1203="","",IF(AND(MONTH(C1203)&gt;=1,MONTH(C1203)&lt;=3),1,IF(AND(MONTH(C1203)&gt;=4,MONTH(C1203)&lt;=6),2,IF(AND(MONTH(C1203)&gt;=7,MONTH(C1203)&lt;=9),3,4))))</f>
        <v>2</v>
      </c>
      <c r="D1204" s="83"/>
      <c r="E1204" s="62" t="s">
        <v>2417</v>
      </c>
      <c r="F1204" s="61" t="s">
        <v>11111</v>
      </c>
      <c r="G1204" s="5"/>
      <c r="H1204" s="5"/>
      <c r="I1204" s="5"/>
      <c r="J1204" s="5"/>
    </row>
    <row r="1205" spans="1:10" ht="14.1" customHeight="1" thickBot="1" x14ac:dyDescent="0.25">
      <c r="A1205" s="83"/>
      <c r="B1205" s="62" t="s">
        <v>12941</v>
      </c>
      <c r="C1205" s="71">
        <v>44288</v>
      </c>
      <c r="D1205" s="83"/>
      <c r="E1205" s="62" t="s">
        <v>3073</v>
      </c>
      <c r="F1205" s="61" t="s">
        <v>11111</v>
      </c>
      <c r="G1205" s="5"/>
      <c r="H1205" s="5"/>
      <c r="I1205" s="5"/>
      <c r="J1205" s="5"/>
    </row>
    <row r="1206" spans="1:10" ht="14.1" customHeight="1" thickBot="1" x14ac:dyDescent="0.25">
      <c r="A1206" s="83"/>
      <c r="B1206" s="62" t="s">
        <v>1786</v>
      </c>
      <c r="C1206" s="60">
        <f>IF(C1205="","",IF(AND(MONTH(C1205)&gt;=1,MONTH(C1205)&lt;=3),1,IF(AND(MONTH(C1205)&gt;=4,MONTH(C1205)&lt;=6),2,IF(AND(MONTH(C1205)&gt;=7,MONTH(C1205)&lt;=9),3,4))))</f>
        <v>2</v>
      </c>
      <c r="D1206" s="83"/>
      <c r="E1206" s="62" t="s">
        <v>13191</v>
      </c>
      <c r="F1206" s="61" t="s">
        <v>11111</v>
      </c>
      <c r="G1206" s="5"/>
      <c r="H1206" s="5"/>
      <c r="I1206" s="5"/>
      <c r="J1206" s="5"/>
    </row>
    <row r="1207" spans="1:10" ht="14.1" customHeight="1" thickBot="1" x14ac:dyDescent="0.25">
      <c r="A1207" s="5"/>
      <c r="B1207" s="5"/>
      <c r="C1207" s="5"/>
      <c r="D1207" s="5"/>
      <c r="E1207" s="5"/>
      <c r="F1207" s="5"/>
      <c r="G1207" s="5"/>
      <c r="H1207" s="5"/>
      <c r="I1207" s="5"/>
      <c r="J1207" s="5"/>
    </row>
    <row r="1208" spans="1:10" ht="14.1" customHeight="1" thickBot="1" x14ac:dyDescent="0.25">
      <c r="A1208" s="67" t="s">
        <v>15735</v>
      </c>
      <c r="B1208" s="67" t="s">
        <v>16146</v>
      </c>
      <c r="C1208" s="67" t="s">
        <v>15641</v>
      </c>
      <c r="D1208" s="67" t="s">
        <v>15251</v>
      </c>
      <c r="E1208" s="67" t="s">
        <v>6932</v>
      </c>
      <c r="F1208" s="67" t="s">
        <v>15280</v>
      </c>
      <c r="G1208" s="5"/>
      <c r="H1208" s="5"/>
      <c r="I1208" s="5"/>
      <c r="J1208" s="5"/>
    </row>
    <row r="1209" spans="1:10" ht="27" customHeight="1" x14ac:dyDescent="0.2">
      <c r="A1209" s="77">
        <v>42211612</v>
      </c>
      <c r="B1209" s="64" t="str">
        <f ca="1">IFERROR(INDEX(UNSPSCDes,MATCH(INDIRECT(ADDRESS(ROW(),COLUMN()-1,4)),UNSPSCCode,0)),"")</f>
        <v>Soportes de brazos para el inodoro para los discapacitados físicamente</v>
      </c>
      <c r="C1209" s="63" t="s">
        <v>1449</v>
      </c>
      <c r="D1209" s="63">
        <v>2</v>
      </c>
      <c r="E1209" s="66">
        <v>7080</v>
      </c>
      <c r="F1209" s="65">
        <f ca="1">INDIRECT(ADDRESS(ROW(),COLUMN()-2,4))*INDIRECT(ADDRESS(ROW(),COLUMN()-1,4))</f>
        <v>14160</v>
      </c>
      <c r="G1209" s="5"/>
      <c r="H1209" s="5"/>
      <c r="I1209" s="5"/>
      <c r="J1209" s="5"/>
    </row>
    <row r="1210" spans="1:10" ht="14.1" customHeight="1" x14ac:dyDescent="0.2">
      <c r="A1210" s="5"/>
      <c r="B1210" s="5"/>
      <c r="C1210" s="5"/>
      <c r="D1210" s="5"/>
      <c r="E1210" s="68" t="s">
        <v>12549</v>
      </c>
      <c r="F1210" s="69">
        <f ca="1">SUM(Table3110[MONTO TOTAL ESTIMADO])</f>
        <v>14160</v>
      </c>
      <c r="G1210" s="5"/>
      <c r="H1210" s="5" t="str">
        <f>C1202</f>
        <v>Bienes</v>
      </c>
      <c r="I1210" s="5" t="str">
        <f>E1202</f>
        <v>Sí</v>
      </c>
      <c r="J1210" s="5" t="str">
        <f>D1202</f>
        <v>Compras por debajo del Umbral</v>
      </c>
    </row>
    <row r="1211" spans="1:10" ht="14.1" customHeight="1" thickBot="1" x14ac:dyDescent="0.3"/>
    <row r="1212" spans="1:10" ht="33.75" customHeight="1" thickBot="1" x14ac:dyDescent="0.25">
      <c r="A1212" s="59" t="s">
        <v>16382</v>
      </c>
      <c r="B1212" s="59" t="s">
        <v>161</v>
      </c>
      <c r="C1212" s="59" t="s">
        <v>11723</v>
      </c>
      <c r="D1212" s="59" t="s">
        <v>14377</v>
      </c>
      <c r="E1212" s="59" t="s">
        <v>10961</v>
      </c>
      <c r="F1212" s="59" t="s">
        <v>11094</v>
      </c>
      <c r="G1212" s="5"/>
      <c r="H1212" s="5"/>
      <c r="I1212" s="5"/>
      <c r="J1212" s="5"/>
    </row>
    <row r="1213" spans="1:10" ht="14.1" customHeight="1" thickBot="1" x14ac:dyDescent="0.25">
      <c r="A1213" s="61" t="s">
        <v>18897</v>
      </c>
      <c r="B1213" s="61" t="s">
        <v>18898</v>
      </c>
      <c r="C1213" s="61" t="s">
        <v>17798</v>
      </c>
      <c r="D1213" s="61" t="s">
        <v>17483</v>
      </c>
      <c r="E1213" s="61" t="s">
        <v>17854</v>
      </c>
      <c r="F1213" s="61"/>
      <c r="G1213" s="5"/>
      <c r="H1213" s="5"/>
      <c r="I1213" s="5"/>
      <c r="J1213" s="5"/>
    </row>
    <row r="1214" spans="1:10" ht="14.1" customHeight="1" thickBot="1" x14ac:dyDescent="0.25">
      <c r="A1214" s="82" t="s">
        <v>14828</v>
      </c>
      <c r="B1214" s="62" t="s">
        <v>8528</v>
      </c>
      <c r="C1214" s="71">
        <v>44197</v>
      </c>
      <c r="D1214" s="82" t="s">
        <v>9385</v>
      </c>
      <c r="E1214" s="62" t="s">
        <v>13092</v>
      </c>
      <c r="F1214" s="61" t="s">
        <v>3080</v>
      </c>
      <c r="G1214" s="5"/>
      <c r="H1214" s="5"/>
      <c r="I1214" s="5"/>
      <c r="J1214" s="5"/>
    </row>
    <row r="1215" spans="1:10" ht="14.1" customHeight="1" thickBot="1" x14ac:dyDescent="0.25">
      <c r="A1215" s="83"/>
      <c r="B1215" s="62" t="s">
        <v>1786</v>
      </c>
      <c r="C1215" s="60">
        <f>IF(C1214="","",IF(AND(MONTH(C1214)&gt;=1,MONTH(C1214)&lt;=3),1,IF(AND(MONTH(C1214)&gt;=4,MONTH(C1214)&lt;=6),2,IF(AND(MONTH(C1214)&gt;=7,MONTH(C1214)&lt;=9),3,4))))</f>
        <v>1</v>
      </c>
      <c r="D1215" s="83"/>
      <c r="E1215" s="62" t="s">
        <v>2417</v>
      </c>
      <c r="F1215" s="61" t="s">
        <v>11111</v>
      </c>
      <c r="G1215" s="5"/>
      <c r="H1215" s="5"/>
      <c r="I1215" s="5"/>
      <c r="J1215" s="5"/>
    </row>
    <row r="1216" spans="1:10" ht="14.1" customHeight="1" thickBot="1" x14ac:dyDescent="0.25">
      <c r="A1216" s="83"/>
      <c r="B1216" s="62" t="s">
        <v>12941</v>
      </c>
      <c r="C1216" s="71">
        <v>44211</v>
      </c>
      <c r="D1216" s="83"/>
      <c r="E1216" s="62" t="s">
        <v>3073</v>
      </c>
      <c r="F1216" s="61" t="s">
        <v>11111</v>
      </c>
      <c r="G1216" s="5"/>
      <c r="H1216" s="5"/>
      <c r="I1216" s="5"/>
      <c r="J1216" s="5"/>
    </row>
    <row r="1217" spans="1:10" ht="14.1" customHeight="1" thickBot="1" x14ac:dyDescent="0.25">
      <c r="A1217" s="83"/>
      <c r="B1217" s="62" t="s">
        <v>1786</v>
      </c>
      <c r="C1217" s="60">
        <f>IF(C1216="","",IF(AND(MONTH(C1216)&gt;=1,MONTH(C1216)&lt;=3),1,IF(AND(MONTH(C1216)&gt;=4,MONTH(C1216)&lt;=6),2,IF(AND(MONTH(C1216)&gt;=7,MONTH(C1216)&lt;=9),3,4))))</f>
        <v>1</v>
      </c>
      <c r="D1217" s="83"/>
      <c r="E1217" s="62" t="s">
        <v>13191</v>
      </c>
      <c r="F1217" s="61" t="s">
        <v>11111</v>
      </c>
      <c r="G1217" s="5"/>
      <c r="H1217" s="5"/>
      <c r="I1217" s="5"/>
      <c r="J1217" s="5"/>
    </row>
    <row r="1218" spans="1:10" ht="14.1" customHeight="1" thickBot="1" x14ac:dyDescent="0.25">
      <c r="A1218" s="5"/>
      <c r="B1218" s="5"/>
      <c r="C1218" s="5"/>
      <c r="D1218" s="5"/>
      <c r="E1218" s="5"/>
      <c r="F1218" s="5"/>
      <c r="G1218" s="5"/>
      <c r="H1218" s="5"/>
      <c r="I1218" s="5"/>
      <c r="J1218" s="5"/>
    </row>
    <row r="1219" spans="1:10" ht="14.1" customHeight="1" thickBot="1" x14ac:dyDescent="0.25">
      <c r="A1219" s="67" t="s">
        <v>15735</v>
      </c>
      <c r="B1219" s="67" t="s">
        <v>16146</v>
      </c>
      <c r="C1219" s="67" t="s">
        <v>15641</v>
      </c>
      <c r="D1219" s="67" t="s">
        <v>15251</v>
      </c>
      <c r="E1219" s="67" t="s">
        <v>6932</v>
      </c>
      <c r="F1219" s="67" t="s">
        <v>15280</v>
      </c>
      <c r="G1219" s="5"/>
      <c r="H1219" s="5"/>
      <c r="I1219" s="5"/>
      <c r="J1219" s="5"/>
    </row>
    <row r="1220" spans="1:10" ht="14.1" customHeight="1" x14ac:dyDescent="0.2">
      <c r="A1220" s="63">
        <v>15101506</v>
      </c>
      <c r="B1220" s="64" t="str">
        <f ca="1">IFERROR(INDEX(UNSPSCDes,MATCH(INDIRECT(ADDRESS(ROW(),COLUMN()-1,4)),UNSPSCCode,0)),"")</f>
        <v>Gasolina</v>
      </c>
      <c r="C1220" s="63" t="s">
        <v>1449</v>
      </c>
      <c r="D1220" s="63">
        <v>1</v>
      </c>
      <c r="E1220" s="66">
        <v>400000</v>
      </c>
      <c r="F1220" s="65">
        <f ca="1">INDIRECT(ADDRESS(ROW(),COLUMN()-2,4))*INDIRECT(ADDRESS(ROW(),COLUMN()-1,4))</f>
        <v>400000</v>
      </c>
      <c r="G1220" s="5"/>
      <c r="H1220" s="5"/>
      <c r="I1220" s="5"/>
      <c r="J1220" s="5"/>
    </row>
    <row r="1221" spans="1:10" ht="13.5" customHeight="1" x14ac:dyDescent="0.2">
      <c r="A1221" s="63">
        <v>15101505</v>
      </c>
      <c r="B1221" s="64" t="str">
        <f ca="1">IFERROR(INDEX(UNSPSCDes,MATCH(INDIRECT(ADDRESS(ROW(),COLUMN()-1,4)),UNSPSCCode,0)),"")</f>
        <v>Combustible diesel</v>
      </c>
      <c r="C1221" s="63" t="s">
        <v>1449</v>
      </c>
      <c r="D1221" s="63">
        <v>1</v>
      </c>
      <c r="E1221" s="66">
        <v>350000</v>
      </c>
      <c r="F1221" s="65">
        <f ca="1">INDIRECT(ADDRESS(ROW(),COLUMN()-2,4))*INDIRECT(ADDRESS(ROW(),COLUMN()-1,4))</f>
        <v>350000</v>
      </c>
      <c r="G1221" s="5"/>
      <c r="H1221" s="5"/>
      <c r="I1221" s="5"/>
      <c r="J1221" s="5"/>
    </row>
    <row r="1222" spans="1:10" ht="14.1" customHeight="1" x14ac:dyDescent="0.2">
      <c r="A1222" s="5"/>
      <c r="B1222" s="5"/>
      <c r="C1222" s="5"/>
      <c r="D1222" s="5"/>
      <c r="E1222" s="68" t="s">
        <v>12549</v>
      </c>
      <c r="F1222" s="69">
        <f ca="1">SUM(Table3111[MONTO TOTAL ESTIMADO])</f>
        <v>750000</v>
      </c>
      <c r="G1222" s="5"/>
      <c r="H1222" s="5" t="str">
        <f>C1213</f>
        <v>Bienes</v>
      </c>
      <c r="I1222" s="5" t="str">
        <f>E1213</f>
        <v>No</v>
      </c>
      <c r="J1222" s="5" t="str">
        <f>D1213</f>
        <v>Compras Menores</v>
      </c>
    </row>
    <row r="1223" spans="1:10" ht="14.1" customHeight="1" thickBot="1" x14ac:dyDescent="0.3"/>
    <row r="1224" spans="1:10" ht="33.75" customHeight="1" thickBot="1" x14ac:dyDescent="0.25">
      <c r="A1224" s="59" t="s">
        <v>16382</v>
      </c>
      <c r="B1224" s="59" t="s">
        <v>161</v>
      </c>
      <c r="C1224" s="59" t="s">
        <v>11723</v>
      </c>
      <c r="D1224" s="59" t="s">
        <v>14377</v>
      </c>
      <c r="E1224" s="59" t="s">
        <v>10961</v>
      </c>
      <c r="F1224" s="59" t="s">
        <v>11094</v>
      </c>
      <c r="G1224" s="5"/>
      <c r="H1224" s="5"/>
      <c r="I1224" s="5"/>
      <c r="J1224" s="5"/>
    </row>
    <row r="1225" spans="1:10" ht="14.1" customHeight="1" thickBot="1" x14ac:dyDescent="0.25">
      <c r="A1225" s="61" t="s">
        <v>18897</v>
      </c>
      <c r="B1225" s="61" t="s">
        <v>18898</v>
      </c>
      <c r="C1225" s="61" t="s">
        <v>17798</v>
      </c>
      <c r="D1225" s="61" t="s">
        <v>17483</v>
      </c>
      <c r="E1225" s="61" t="s">
        <v>17854</v>
      </c>
      <c r="F1225" s="61"/>
      <c r="G1225" s="5"/>
      <c r="H1225" s="5"/>
      <c r="I1225" s="5"/>
      <c r="J1225" s="5"/>
    </row>
    <row r="1226" spans="1:10" ht="14.1" customHeight="1" thickBot="1" x14ac:dyDescent="0.25">
      <c r="A1226" s="82" t="s">
        <v>14828</v>
      </c>
      <c r="B1226" s="62" t="s">
        <v>8528</v>
      </c>
      <c r="C1226" s="71">
        <v>44287</v>
      </c>
      <c r="D1226" s="82" t="s">
        <v>9385</v>
      </c>
      <c r="E1226" s="62" t="s">
        <v>13092</v>
      </c>
      <c r="F1226" s="61" t="s">
        <v>3080</v>
      </c>
      <c r="G1226" s="5"/>
      <c r="H1226" s="5"/>
      <c r="I1226" s="5"/>
      <c r="J1226" s="5"/>
    </row>
    <row r="1227" spans="1:10" ht="14.1" customHeight="1" thickBot="1" x14ac:dyDescent="0.25">
      <c r="A1227" s="83"/>
      <c r="B1227" s="62" t="s">
        <v>1786</v>
      </c>
      <c r="C1227" s="60">
        <f>IF(C1226="","",IF(AND(MONTH(C1226)&gt;=1,MONTH(C1226)&lt;=3),1,IF(AND(MONTH(C1226)&gt;=4,MONTH(C1226)&lt;=6),2,IF(AND(MONTH(C1226)&gt;=7,MONTH(C1226)&lt;=9),3,4))))</f>
        <v>2</v>
      </c>
      <c r="D1227" s="83"/>
      <c r="E1227" s="62" t="s">
        <v>2417</v>
      </c>
      <c r="F1227" s="61" t="s">
        <v>11111</v>
      </c>
      <c r="G1227" s="5"/>
      <c r="H1227" s="5"/>
      <c r="I1227" s="5"/>
      <c r="J1227" s="5"/>
    </row>
    <row r="1228" spans="1:10" ht="14.1" customHeight="1" thickBot="1" x14ac:dyDescent="0.25">
      <c r="A1228" s="83"/>
      <c r="B1228" s="62" t="s">
        <v>12941</v>
      </c>
      <c r="C1228" s="71">
        <v>44301</v>
      </c>
      <c r="D1228" s="83"/>
      <c r="E1228" s="62" t="s">
        <v>3073</v>
      </c>
      <c r="F1228" s="61" t="s">
        <v>11111</v>
      </c>
      <c r="G1228" s="5"/>
      <c r="H1228" s="5"/>
      <c r="I1228" s="5"/>
      <c r="J1228" s="5"/>
    </row>
    <row r="1229" spans="1:10" ht="14.1" customHeight="1" thickBot="1" x14ac:dyDescent="0.25">
      <c r="A1229" s="83"/>
      <c r="B1229" s="62" t="s">
        <v>1786</v>
      </c>
      <c r="C1229" s="60">
        <f>IF(C1228="","",IF(AND(MONTH(C1228)&gt;=1,MONTH(C1228)&lt;=3),1,IF(AND(MONTH(C1228)&gt;=4,MONTH(C1228)&lt;=6),2,IF(AND(MONTH(C1228)&gt;=7,MONTH(C1228)&lt;=9),3,4))))</f>
        <v>2</v>
      </c>
      <c r="D1229" s="83"/>
      <c r="E1229" s="62" t="s">
        <v>13191</v>
      </c>
      <c r="F1229" s="61" t="s">
        <v>11111</v>
      </c>
      <c r="G1229" s="5"/>
      <c r="H1229" s="5"/>
      <c r="I1229" s="5"/>
      <c r="J1229" s="5"/>
    </row>
    <row r="1230" spans="1:10" ht="14.1" customHeight="1" thickBot="1" x14ac:dyDescent="0.25">
      <c r="A1230" s="5"/>
      <c r="B1230" s="5"/>
      <c r="C1230" s="5"/>
      <c r="D1230" s="5"/>
      <c r="E1230" s="5"/>
      <c r="F1230" s="5"/>
      <c r="G1230" s="5"/>
      <c r="H1230" s="5"/>
      <c r="I1230" s="5"/>
      <c r="J1230" s="5"/>
    </row>
    <row r="1231" spans="1:10" ht="14.1" customHeight="1" thickBot="1" x14ac:dyDescent="0.25">
      <c r="A1231" s="67" t="s">
        <v>15735</v>
      </c>
      <c r="B1231" s="67" t="s">
        <v>16146</v>
      </c>
      <c r="C1231" s="67" t="s">
        <v>15641</v>
      </c>
      <c r="D1231" s="67" t="s">
        <v>15251</v>
      </c>
      <c r="E1231" s="67" t="s">
        <v>6932</v>
      </c>
      <c r="F1231" s="67" t="s">
        <v>15280</v>
      </c>
      <c r="G1231" s="5"/>
      <c r="H1231" s="5"/>
      <c r="I1231" s="5"/>
      <c r="J1231" s="5"/>
    </row>
    <row r="1232" spans="1:10" ht="14.1" customHeight="1" x14ac:dyDescent="0.2">
      <c r="A1232" s="63">
        <v>15101506</v>
      </c>
      <c r="B1232" s="64" t="str">
        <f ca="1">IFERROR(INDEX(UNSPSCDes,MATCH(INDIRECT(ADDRESS(ROW(),COLUMN()-1,4)),UNSPSCCode,0)),"")</f>
        <v>Gasolina</v>
      </c>
      <c r="C1232" s="63" t="s">
        <v>1449</v>
      </c>
      <c r="D1232" s="63">
        <v>1</v>
      </c>
      <c r="E1232" s="66">
        <v>400000</v>
      </c>
      <c r="F1232" s="65">
        <f ca="1">INDIRECT(ADDRESS(ROW(),COLUMN()-2,4))*INDIRECT(ADDRESS(ROW(),COLUMN()-1,4))</f>
        <v>400000</v>
      </c>
      <c r="G1232" s="5"/>
      <c r="H1232" s="5"/>
      <c r="I1232" s="5"/>
      <c r="J1232" s="5"/>
    </row>
    <row r="1233" spans="1:10" ht="13.5" customHeight="1" x14ac:dyDescent="0.2">
      <c r="A1233" s="63">
        <v>15101505</v>
      </c>
      <c r="B1233" s="64" t="str">
        <f ca="1">IFERROR(INDEX(UNSPSCDes,MATCH(INDIRECT(ADDRESS(ROW(),COLUMN()-1,4)),UNSPSCCode,0)),"")</f>
        <v>Combustible diesel</v>
      </c>
      <c r="C1233" s="63" t="s">
        <v>1449</v>
      </c>
      <c r="D1233" s="63">
        <v>1</v>
      </c>
      <c r="E1233" s="66">
        <v>350000</v>
      </c>
      <c r="F1233" s="65">
        <f ca="1">INDIRECT(ADDRESS(ROW(),COLUMN()-2,4))*INDIRECT(ADDRESS(ROW(),COLUMN()-1,4))</f>
        <v>350000</v>
      </c>
      <c r="G1233" s="5"/>
      <c r="H1233" s="5"/>
      <c r="I1233" s="5"/>
      <c r="J1233" s="5"/>
    </row>
    <row r="1234" spans="1:10" ht="14.1" customHeight="1" x14ac:dyDescent="0.2">
      <c r="A1234" s="5"/>
      <c r="B1234" s="5"/>
      <c r="C1234" s="5"/>
      <c r="D1234" s="5"/>
      <c r="E1234" s="68" t="s">
        <v>12549</v>
      </c>
      <c r="F1234" s="69">
        <f ca="1">SUM(Table3112[MONTO TOTAL ESTIMADO])</f>
        <v>750000</v>
      </c>
      <c r="G1234" s="5"/>
      <c r="H1234" s="5" t="str">
        <f>C1225</f>
        <v>Bienes</v>
      </c>
      <c r="I1234" s="5" t="str">
        <f>E1225</f>
        <v>No</v>
      </c>
      <c r="J1234" s="5" t="str">
        <f>D1225</f>
        <v>Compras Menores</v>
      </c>
    </row>
    <row r="1235" spans="1:10" ht="14.1" customHeight="1" thickBot="1" x14ac:dyDescent="0.3"/>
    <row r="1236" spans="1:10" ht="33.75" customHeight="1" thickBot="1" x14ac:dyDescent="0.25">
      <c r="A1236" s="59" t="s">
        <v>16382</v>
      </c>
      <c r="B1236" s="59" t="s">
        <v>161</v>
      </c>
      <c r="C1236" s="59" t="s">
        <v>11723</v>
      </c>
      <c r="D1236" s="59" t="s">
        <v>14377</v>
      </c>
      <c r="E1236" s="59" t="s">
        <v>10961</v>
      </c>
      <c r="F1236" s="59" t="s">
        <v>11094</v>
      </c>
      <c r="G1236" s="5"/>
      <c r="H1236" s="5"/>
      <c r="I1236" s="5"/>
      <c r="J1236" s="5"/>
    </row>
    <row r="1237" spans="1:10" ht="14.1" customHeight="1" thickBot="1" x14ac:dyDescent="0.25">
      <c r="A1237" s="61" t="s">
        <v>18897</v>
      </c>
      <c r="B1237" s="61" t="s">
        <v>18898</v>
      </c>
      <c r="C1237" s="61" t="s">
        <v>17798</v>
      </c>
      <c r="D1237" s="61" t="s">
        <v>17483</v>
      </c>
      <c r="E1237" s="61" t="s">
        <v>17854</v>
      </c>
      <c r="F1237" s="61"/>
      <c r="G1237" s="5"/>
      <c r="H1237" s="5"/>
      <c r="I1237" s="5"/>
      <c r="J1237" s="5"/>
    </row>
    <row r="1238" spans="1:10" ht="14.1" customHeight="1" thickBot="1" x14ac:dyDescent="0.25">
      <c r="A1238" s="82" t="s">
        <v>14828</v>
      </c>
      <c r="B1238" s="62" t="s">
        <v>8528</v>
      </c>
      <c r="C1238" s="71">
        <v>44378</v>
      </c>
      <c r="D1238" s="82" t="s">
        <v>9385</v>
      </c>
      <c r="E1238" s="62" t="s">
        <v>13092</v>
      </c>
      <c r="F1238" s="61" t="s">
        <v>3080</v>
      </c>
      <c r="G1238" s="5"/>
      <c r="H1238" s="5"/>
      <c r="I1238" s="5"/>
      <c r="J1238" s="5"/>
    </row>
    <row r="1239" spans="1:10" ht="14.1" customHeight="1" thickBot="1" x14ac:dyDescent="0.25">
      <c r="A1239" s="83"/>
      <c r="B1239" s="62" t="s">
        <v>1786</v>
      </c>
      <c r="C1239" s="60">
        <f>IF(C1238="","",IF(AND(MONTH(C1238)&gt;=1,MONTH(C1238)&lt;=3),1,IF(AND(MONTH(C1238)&gt;=4,MONTH(C1238)&lt;=6),2,IF(AND(MONTH(C1238)&gt;=7,MONTH(C1238)&lt;=9),3,4))))</f>
        <v>3</v>
      </c>
      <c r="D1239" s="83"/>
      <c r="E1239" s="62" t="s">
        <v>2417</v>
      </c>
      <c r="F1239" s="61" t="s">
        <v>11111</v>
      </c>
      <c r="G1239" s="5"/>
      <c r="H1239" s="5"/>
      <c r="I1239" s="5"/>
      <c r="J1239" s="5"/>
    </row>
    <row r="1240" spans="1:10" ht="14.1" customHeight="1" thickBot="1" x14ac:dyDescent="0.25">
      <c r="A1240" s="83"/>
      <c r="B1240" s="62" t="s">
        <v>12941</v>
      </c>
      <c r="C1240" s="71">
        <v>44392</v>
      </c>
      <c r="D1240" s="83"/>
      <c r="E1240" s="62" t="s">
        <v>3073</v>
      </c>
      <c r="F1240" s="61" t="s">
        <v>11111</v>
      </c>
      <c r="G1240" s="5"/>
      <c r="H1240" s="5"/>
      <c r="I1240" s="5"/>
      <c r="J1240" s="5"/>
    </row>
    <row r="1241" spans="1:10" ht="14.1" customHeight="1" thickBot="1" x14ac:dyDescent="0.25">
      <c r="A1241" s="83"/>
      <c r="B1241" s="62" t="s">
        <v>1786</v>
      </c>
      <c r="C1241" s="60">
        <f>IF(C1240="","",IF(AND(MONTH(C1240)&gt;=1,MONTH(C1240)&lt;=3),1,IF(AND(MONTH(C1240)&gt;=4,MONTH(C1240)&lt;=6),2,IF(AND(MONTH(C1240)&gt;=7,MONTH(C1240)&lt;=9),3,4))))</f>
        <v>3</v>
      </c>
      <c r="D1241" s="83"/>
      <c r="E1241" s="62" t="s">
        <v>13191</v>
      </c>
      <c r="F1241" s="61" t="s">
        <v>11111</v>
      </c>
      <c r="G1241" s="5"/>
      <c r="H1241" s="5"/>
      <c r="I1241" s="5"/>
      <c r="J1241" s="5"/>
    </row>
    <row r="1242" spans="1:10" ht="14.1" customHeight="1" thickBot="1" x14ac:dyDescent="0.25">
      <c r="A1242" s="5"/>
      <c r="B1242" s="5"/>
      <c r="C1242" s="5"/>
      <c r="D1242" s="5"/>
      <c r="E1242" s="5"/>
      <c r="F1242" s="5"/>
      <c r="G1242" s="5"/>
      <c r="H1242" s="5"/>
      <c r="I1242" s="5"/>
      <c r="J1242" s="5"/>
    </row>
    <row r="1243" spans="1:10" ht="14.1" customHeight="1" thickBot="1" x14ac:dyDescent="0.25">
      <c r="A1243" s="67" t="s">
        <v>15735</v>
      </c>
      <c r="B1243" s="67" t="s">
        <v>16146</v>
      </c>
      <c r="C1243" s="67" t="s">
        <v>15641</v>
      </c>
      <c r="D1243" s="67" t="s">
        <v>15251</v>
      </c>
      <c r="E1243" s="67" t="s">
        <v>6932</v>
      </c>
      <c r="F1243" s="67" t="s">
        <v>15280</v>
      </c>
      <c r="G1243" s="5"/>
      <c r="H1243" s="5"/>
      <c r="I1243" s="5"/>
      <c r="J1243" s="5"/>
    </row>
    <row r="1244" spans="1:10" ht="14.1" customHeight="1" x14ac:dyDescent="0.2">
      <c r="A1244" s="63">
        <v>15101506</v>
      </c>
      <c r="B1244" s="64" t="str">
        <f ca="1">IFERROR(INDEX(UNSPSCDes,MATCH(INDIRECT(ADDRESS(ROW(),COLUMN()-1,4)),UNSPSCCode,0)),"")</f>
        <v>Gasolina</v>
      </c>
      <c r="C1244" s="63" t="s">
        <v>1449</v>
      </c>
      <c r="D1244" s="63">
        <v>1</v>
      </c>
      <c r="E1244" s="66">
        <v>400000</v>
      </c>
      <c r="F1244" s="65">
        <f ca="1">INDIRECT(ADDRESS(ROW(),COLUMN()-2,4))*INDIRECT(ADDRESS(ROW(),COLUMN()-1,4))</f>
        <v>400000</v>
      </c>
      <c r="G1244" s="5"/>
      <c r="H1244" s="5"/>
      <c r="I1244" s="5"/>
      <c r="J1244" s="5"/>
    </row>
    <row r="1245" spans="1:10" ht="13.5" customHeight="1" x14ac:dyDescent="0.2">
      <c r="A1245" s="63">
        <v>15101505</v>
      </c>
      <c r="B1245" s="64" t="str">
        <f ca="1">IFERROR(INDEX(UNSPSCDes,MATCH(INDIRECT(ADDRESS(ROW(),COLUMN()-1,4)),UNSPSCCode,0)),"")</f>
        <v>Combustible diesel</v>
      </c>
      <c r="C1245" s="63" t="s">
        <v>1449</v>
      </c>
      <c r="D1245" s="63">
        <v>1</v>
      </c>
      <c r="E1245" s="66">
        <v>350000</v>
      </c>
      <c r="F1245" s="65">
        <f ca="1">INDIRECT(ADDRESS(ROW(),COLUMN()-2,4))*INDIRECT(ADDRESS(ROW(),COLUMN()-1,4))</f>
        <v>350000</v>
      </c>
      <c r="G1245" s="5"/>
      <c r="H1245" s="5"/>
      <c r="I1245" s="5"/>
      <c r="J1245" s="5"/>
    </row>
    <row r="1246" spans="1:10" ht="14.1" customHeight="1" x14ac:dyDescent="0.2">
      <c r="A1246" s="5"/>
      <c r="B1246" s="5"/>
      <c r="C1246" s="5"/>
      <c r="D1246" s="5"/>
      <c r="E1246" s="68" t="s">
        <v>12549</v>
      </c>
      <c r="F1246" s="69">
        <f ca="1">SUM(Table3113[MONTO TOTAL ESTIMADO])</f>
        <v>750000</v>
      </c>
      <c r="G1246" s="5"/>
      <c r="H1246" s="5" t="str">
        <f>C1237</f>
        <v>Bienes</v>
      </c>
      <c r="I1246" s="5" t="str">
        <f>E1237</f>
        <v>No</v>
      </c>
      <c r="J1246" s="5" t="str">
        <f>D1237</f>
        <v>Compras Menores</v>
      </c>
    </row>
    <row r="1247" spans="1:10" ht="14.1" customHeight="1" thickBot="1" x14ac:dyDescent="0.3"/>
    <row r="1248" spans="1:10" ht="33.75" customHeight="1" thickBot="1" x14ac:dyDescent="0.25">
      <c r="A1248" s="59" t="s">
        <v>16382</v>
      </c>
      <c r="B1248" s="59" t="s">
        <v>161</v>
      </c>
      <c r="C1248" s="59" t="s">
        <v>11723</v>
      </c>
      <c r="D1248" s="59" t="s">
        <v>14377</v>
      </c>
      <c r="E1248" s="59" t="s">
        <v>10961</v>
      </c>
      <c r="F1248" s="59" t="s">
        <v>11094</v>
      </c>
      <c r="G1248" s="5"/>
      <c r="H1248" s="5"/>
      <c r="I1248" s="5"/>
      <c r="J1248" s="5"/>
    </row>
    <row r="1249" spans="1:10" ht="14.1" customHeight="1" thickBot="1" x14ac:dyDescent="0.25">
      <c r="A1249" s="61" t="s">
        <v>18897</v>
      </c>
      <c r="B1249" s="61" t="s">
        <v>18898</v>
      </c>
      <c r="C1249" s="61" t="s">
        <v>17798</v>
      </c>
      <c r="D1249" s="61" t="s">
        <v>17483</v>
      </c>
      <c r="E1249" s="61" t="s">
        <v>17854</v>
      </c>
      <c r="F1249" s="61"/>
      <c r="G1249" s="5"/>
      <c r="H1249" s="5"/>
      <c r="I1249" s="5"/>
      <c r="J1249" s="5"/>
    </row>
    <row r="1250" spans="1:10" ht="14.1" customHeight="1" thickBot="1" x14ac:dyDescent="0.25">
      <c r="A1250" s="82" t="s">
        <v>14828</v>
      </c>
      <c r="B1250" s="62" t="s">
        <v>8528</v>
      </c>
      <c r="C1250" s="71">
        <v>44470</v>
      </c>
      <c r="D1250" s="82" t="s">
        <v>9385</v>
      </c>
      <c r="E1250" s="62" t="s">
        <v>13092</v>
      </c>
      <c r="F1250" s="61" t="s">
        <v>3080</v>
      </c>
      <c r="G1250" s="5"/>
      <c r="H1250" s="5"/>
      <c r="I1250" s="5"/>
      <c r="J1250" s="5"/>
    </row>
    <row r="1251" spans="1:10" ht="14.1" customHeight="1" thickBot="1" x14ac:dyDescent="0.25">
      <c r="A1251" s="83"/>
      <c r="B1251" s="62" t="s">
        <v>1786</v>
      </c>
      <c r="C1251" s="60">
        <f>IF(C1250="","",IF(AND(MONTH(C1250)&gt;=1,MONTH(C1250)&lt;=3),1,IF(AND(MONTH(C1250)&gt;=4,MONTH(C1250)&lt;=6),2,IF(AND(MONTH(C1250)&gt;=7,MONTH(C1250)&lt;=9),3,4))))</f>
        <v>4</v>
      </c>
      <c r="D1251" s="83"/>
      <c r="E1251" s="62" t="s">
        <v>2417</v>
      </c>
      <c r="F1251" s="61" t="s">
        <v>11111</v>
      </c>
      <c r="G1251" s="5"/>
      <c r="H1251" s="5"/>
      <c r="I1251" s="5"/>
      <c r="J1251" s="5"/>
    </row>
    <row r="1252" spans="1:10" ht="14.1" customHeight="1" thickBot="1" x14ac:dyDescent="0.25">
      <c r="A1252" s="83"/>
      <c r="B1252" s="62" t="s">
        <v>12941</v>
      </c>
      <c r="C1252" s="71">
        <v>44484</v>
      </c>
      <c r="D1252" s="83"/>
      <c r="E1252" s="62" t="s">
        <v>3073</v>
      </c>
      <c r="F1252" s="61" t="s">
        <v>11111</v>
      </c>
      <c r="G1252" s="5"/>
      <c r="H1252" s="5"/>
      <c r="I1252" s="5"/>
      <c r="J1252" s="5"/>
    </row>
    <row r="1253" spans="1:10" ht="14.1" customHeight="1" thickBot="1" x14ac:dyDescent="0.25">
      <c r="A1253" s="83"/>
      <c r="B1253" s="62" t="s">
        <v>1786</v>
      </c>
      <c r="C1253" s="60">
        <f>IF(C1252="","",IF(AND(MONTH(C1252)&gt;=1,MONTH(C1252)&lt;=3),1,IF(AND(MONTH(C1252)&gt;=4,MONTH(C1252)&lt;=6),2,IF(AND(MONTH(C1252)&gt;=7,MONTH(C1252)&lt;=9),3,4))))</f>
        <v>4</v>
      </c>
      <c r="D1253" s="83"/>
      <c r="E1253" s="62" t="s">
        <v>13191</v>
      </c>
      <c r="F1253" s="61" t="s">
        <v>11111</v>
      </c>
      <c r="G1253" s="5"/>
      <c r="H1253" s="5"/>
      <c r="I1253" s="5"/>
      <c r="J1253" s="5"/>
    </row>
    <row r="1254" spans="1:10" ht="14.1" customHeight="1" thickBot="1" x14ac:dyDescent="0.25">
      <c r="A1254" s="5"/>
      <c r="B1254" s="5"/>
      <c r="C1254" s="5"/>
      <c r="D1254" s="5"/>
      <c r="E1254" s="5"/>
      <c r="F1254" s="5"/>
      <c r="G1254" s="5"/>
      <c r="H1254" s="5"/>
      <c r="I1254" s="5"/>
      <c r="J1254" s="5"/>
    </row>
    <row r="1255" spans="1:10" ht="14.1" customHeight="1" thickBot="1" x14ac:dyDescent="0.25">
      <c r="A1255" s="67" t="s">
        <v>15735</v>
      </c>
      <c r="B1255" s="67" t="s">
        <v>16146</v>
      </c>
      <c r="C1255" s="67" t="s">
        <v>15641</v>
      </c>
      <c r="D1255" s="67" t="s">
        <v>15251</v>
      </c>
      <c r="E1255" s="67" t="s">
        <v>6932</v>
      </c>
      <c r="F1255" s="67" t="s">
        <v>15280</v>
      </c>
      <c r="G1255" s="5"/>
      <c r="H1255" s="5"/>
      <c r="I1255" s="5"/>
      <c r="J1255" s="5"/>
    </row>
    <row r="1256" spans="1:10" ht="14.1" customHeight="1" x14ac:dyDescent="0.2">
      <c r="A1256" s="63">
        <v>15101506</v>
      </c>
      <c r="B1256" s="64" t="str">
        <f ca="1">IFERROR(INDEX(UNSPSCDes,MATCH(INDIRECT(ADDRESS(ROW(),COLUMN()-1,4)),UNSPSCCode,0)),"")</f>
        <v>Gasolina</v>
      </c>
      <c r="C1256" s="63" t="s">
        <v>1449</v>
      </c>
      <c r="D1256" s="63">
        <v>1</v>
      </c>
      <c r="E1256" s="66">
        <v>400000</v>
      </c>
      <c r="F1256" s="65">
        <f ca="1">INDIRECT(ADDRESS(ROW(),COLUMN()-2,4))*INDIRECT(ADDRESS(ROW(),COLUMN()-1,4))</f>
        <v>400000</v>
      </c>
      <c r="G1256" s="5"/>
      <c r="H1256" s="5"/>
      <c r="I1256" s="5"/>
      <c r="J1256" s="5"/>
    </row>
    <row r="1257" spans="1:10" ht="13.5" customHeight="1" x14ac:dyDescent="0.2">
      <c r="A1257" s="63">
        <v>15101505</v>
      </c>
      <c r="B1257" s="64" t="str">
        <f ca="1">IFERROR(INDEX(UNSPSCDes,MATCH(INDIRECT(ADDRESS(ROW(),COLUMN()-1,4)),UNSPSCCode,0)),"")</f>
        <v>Combustible diesel</v>
      </c>
      <c r="C1257" s="63" t="s">
        <v>1449</v>
      </c>
      <c r="D1257" s="63">
        <v>1</v>
      </c>
      <c r="E1257" s="66">
        <v>350000</v>
      </c>
      <c r="F1257" s="65">
        <f ca="1">INDIRECT(ADDRESS(ROW(),COLUMN()-2,4))*INDIRECT(ADDRESS(ROW(),COLUMN()-1,4))</f>
        <v>350000</v>
      </c>
      <c r="G1257" s="5"/>
      <c r="H1257" s="5"/>
      <c r="I1257" s="5"/>
      <c r="J1257" s="5"/>
    </row>
    <row r="1258" spans="1:10" ht="14.1" customHeight="1" x14ac:dyDescent="0.2">
      <c r="A1258" s="5"/>
      <c r="B1258" s="5"/>
      <c r="C1258" s="5"/>
      <c r="D1258" s="5"/>
      <c r="E1258" s="68" t="s">
        <v>12549</v>
      </c>
      <c r="F1258" s="69">
        <f ca="1">SUM(Table3114[MONTO TOTAL ESTIMADO])</f>
        <v>750000</v>
      </c>
      <c r="G1258" s="5"/>
      <c r="H1258" s="5" t="str">
        <f>C1249</f>
        <v>Bienes</v>
      </c>
      <c r="I1258" s="5" t="str">
        <f>E1249</f>
        <v>No</v>
      </c>
      <c r="J1258" s="5" t="str">
        <f>D1249</f>
        <v>Compras Menores</v>
      </c>
    </row>
    <row r="1259" spans="1:10" ht="14.1" customHeight="1" thickBot="1" x14ac:dyDescent="0.3"/>
    <row r="1260" spans="1:10" ht="33.75" customHeight="1" thickBot="1" x14ac:dyDescent="0.25">
      <c r="A1260" s="59" t="s">
        <v>16382</v>
      </c>
      <c r="B1260" s="59" t="s">
        <v>161</v>
      </c>
      <c r="C1260" s="59" t="s">
        <v>11723</v>
      </c>
      <c r="D1260" s="59" t="s">
        <v>14377</v>
      </c>
      <c r="E1260" s="59" t="s">
        <v>10961</v>
      </c>
      <c r="F1260" s="59" t="s">
        <v>11094</v>
      </c>
      <c r="G1260" s="5"/>
      <c r="H1260" s="5"/>
      <c r="I1260" s="5"/>
      <c r="J1260" s="5"/>
    </row>
    <row r="1261" spans="1:10" ht="14.1" customHeight="1" thickBot="1" x14ac:dyDescent="0.25">
      <c r="A1261" s="61" t="s">
        <v>18899</v>
      </c>
      <c r="B1261" s="61" t="s">
        <v>18899</v>
      </c>
      <c r="C1261" s="61" t="s">
        <v>17798</v>
      </c>
      <c r="D1261" s="61" t="s">
        <v>10170</v>
      </c>
      <c r="E1261" s="61" t="s">
        <v>17854</v>
      </c>
      <c r="F1261" s="61"/>
      <c r="G1261" s="5"/>
      <c r="H1261" s="5"/>
      <c r="I1261" s="5"/>
      <c r="J1261" s="5"/>
    </row>
    <row r="1262" spans="1:10" ht="14.1" customHeight="1" thickBot="1" x14ac:dyDescent="0.25">
      <c r="A1262" s="82" t="s">
        <v>14828</v>
      </c>
      <c r="B1262" s="62" t="s">
        <v>8528</v>
      </c>
      <c r="C1262" s="71">
        <v>44197</v>
      </c>
      <c r="D1262" s="82" t="s">
        <v>9385</v>
      </c>
      <c r="E1262" s="62" t="s">
        <v>13092</v>
      </c>
      <c r="F1262" s="61" t="s">
        <v>3080</v>
      </c>
      <c r="G1262" s="5"/>
      <c r="H1262" s="5"/>
      <c r="I1262" s="5"/>
      <c r="J1262" s="5"/>
    </row>
    <row r="1263" spans="1:10" ht="14.1" customHeight="1" thickBot="1" x14ac:dyDescent="0.25">
      <c r="A1263" s="83"/>
      <c r="B1263" s="62" t="s">
        <v>1786</v>
      </c>
      <c r="C1263" s="60">
        <f>IF(C1262="","",IF(AND(MONTH(C1262)&gt;=1,MONTH(C1262)&lt;=3),1,IF(AND(MONTH(C1262)&gt;=4,MONTH(C1262)&lt;=6),2,IF(AND(MONTH(C1262)&gt;=7,MONTH(C1262)&lt;=9),3,4))))</f>
        <v>1</v>
      </c>
      <c r="D1263" s="83"/>
      <c r="E1263" s="62" t="s">
        <v>2417</v>
      </c>
      <c r="F1263" s="61" t="s">
        <v>11111</v>
      </c>
      <c r="G1263" s="5"/>
      <c r="H1263" s="5"/>
      <c r="I1263" s="5"/>
      <c r="J1263" s="5"/>
    </row>
    <row r="1264" spans="1:10" ht="14.1" customHeight="1" thickBot="1" x14ac:dyDescent="0.25">
      <c r="A1264" s="83"/>
      <c r="B1264" s="62" t="s">
        <v>12941</v>
      </c>
      <c r="C1264" s="71">
        <v>44198</v>
      </c>
      <c r="D1264" s="83"/>
      <c r="E1264" s="62" t="s">
        <v>3073</v>
      </c>
      <c r="F1264" s="61" t="s">
        <v>11111</v>
      </c>
      <c r="G1264" s="5"/>
      <c r="H1264" s="5"/>
      <c r="I1264" s="5"/>
      <c r="J1264" s="5"/>
    </row>
    <row r="1265" spans="1:10" ht="14.1" customHeight="1" thickBot="1" x14ac:dyDescent="0.25">
      <c r="A1265" s="83"/>
      <c r="B1265" s="62" t="s">
        <v>1786</v>
      </c>
      <c r="C1265" s="60">
        <f>IF(C1264="","",IF(AND(MONTH(C1264)&gt;=1,MONTH(C1264)&lt;=3),1,IF(AND(MONTH(C1264)&gt;=4,MONTH(C1264)&lt;=6),2,IF(AND(MONTH(C1264)&gt;=7,MONTH(C1264)&lt;=9),3,4))))</f>
        <v>1</v>
      </c>
      <c r="D1265" s="83"/>
      <c r="E1265" s="62" t="s">
        <v>13191</v>
      </c>
      <c r="F1265" s="61" t="s">
        <v>11111</v>
      </c>
      <c r="G1265" s="5"/>
      <c r="H1265" s="5"/>
      <c r="I1265" s="5"/>
      <c r="J1265" s="5"/>
    </row>
    <row r="1266" spans="1:10" ht="14.1" customHeight="1" thickBot="1" x14ac:dyDescent="0.25">
      <c r="A1266" s="5"/>
      <c r="B1266" s="5"/>
      <c r="C1266" s="5"/>
      <c r="D1266" s="5"/>
      <c r="E1266" s="5"/>
      <c r="F1266" s="5"/>
      <c r="G1266" s="5"/>
      <c r="H1266" s="5"/>
      <c r="I1266" s="5"/>
      <c r="J1266" s="5"/>
    </row>
    <row r="1267" spans="1:10" ht="14.1" customHeight="1" thickBot="1" x14ac:dyDescent="0.25">
      <c r="A1267" s="67" t="s">
        <v>15735</v>
      </c>
      <c r="B1267" s="67" t="s">
        <v>16146</v>
      </c>
      <c r="C1267" s="67" t="s">
        <v>15641</v>
      </c>
      <c r="D1267" s="67" t="s">
        <v>15251</v>
      </c>
      <c r="E1267" s="67" t="s">
        <v>6932</v>
      </c>
      <c r="F1267" s="67" t="s">
        <v>15280</v>
      </c>
      <c r="G1267" s="5"/>
      <c r="H1267" s="5"/>
      <c r="I1267" s="5"/>
      <c r="J1267" s="5"/>
    </row>
    <row r="1268" spans="1:10" ht="13.5" customHeight="1" x14ac:dyDescent="0.2">
      <c r="A1268" s="63">
        <v>46191608</v>
      </c>
      <c r="B1268" s="64" t="str">
        <f ca="1">IFERROR(INDEX(UNSPSCDes,MATCH(INDIRECT(ADDRESS(ROW(),COLUMN()-1,4)),UNSPSCCode,0)),"")</f>
        <v>Sistema de supresión de incendios</v>
      </c>
      <c r="C1268" s="63" t="s">
        <v>1449</v>
      </c>
      <c r="D1268" s="63">
        <v>1</v>
      </c>
      <c r="E1268" s="66">
        <v>37500</v>
      </c>
      <c r="F1268" s="65">
        <f ca="1">INDIRECT(ADDRESS(ROW(),COLUMN()-2,4))*INDIRECT(ADDRESS(ROW(),COLUMN()-1,4))</f>
        <v>37500</v>
      </c>
      <c r="G1268" s="5"/>
      <c r="H1268" s="5"/>
      <c r="I1268" s="5"/>
      <c r="J1268" s="5"/>
    </row>
    <row r="1269" spans="1:10" ht="14.1" customHeight="1" x14ac:dyDescent="0.2">
      <c r="A1269" s="5"/>
      <c r="B1269" s="5"/>
      <c r="C1269" s="5"/>
      <c r="D1269" s="5"/>
      <c r="E1269" s="68" t="s">
        <v>12549</v>
      </c>
      <c r="F1269" s="69">
        <f ca="1">SUM(Table3115[MONTO TOTAL ESTIMADO])</f>
        <v>37500</v>
      </c>
      <c r="G1269" s="5"/>
      <c r="H1269" s="5" t="str">
        <f>C1261</f>
        <v>Bienes</v>
      </c>
      <c r="I1269" s="5" t="str">
        <f>E1261</f>
        <v>No</v>
      </c>
      <c r="J1269" s="5" t="str">
        <f>D1261</f>
        <v>Compras por debajo del Umbral</v>
      </c>
    </row>
    <row r="1270" spans="1:10" ht="14.1" customHeight="1" thickBot="1" x14ac:dyDescent="0.3"/>
    <row r="1271" spans="1:10" ht="33.75" customHeight="1" thickBot="1" x14ac:dyDescent="0.25">
      <c r="A1271" s="59" t="s">
        <v>16382</v>
      </c>
      <c r="B1271" s="59" t="s">
        <v>161</v>
      </c>
      <c r="C1271" s="59" t="s">
        <v>11723</v>
      </c>
      <c r="D1271" s="59" t="s">
        <v>14377</v>
      </c>
      <c r="E1271" s="59" t="s">
        <v>10961</v>
      </c>
      <c r="F1271" s="59" t="s">
        <v>11094</v>
      </c>
      <c r="G1271" s="5"/>
      <c r="H1271" s="5"/>
      <c r="I1271" s="5"/>
      <c r="J1271" s="5"/>
    </row>
    <row r="1272" spans="1:10" ht="14.1" customHeight="1" thickBot="1" x14ac:dyDescent="0.25">
      <c r="A1272" s="61" t="s">
        <v>18899</v>
      </c>
      <c r="B1272" s="61" t="s">
        <v>18899</v>
      </c>
      <c r="C1272" s="61" t="s">
        <v>17798</v>
      </c>
      <c r="D1272" s="61" t="s">
        <v>10170</v>
      </c>
      <c r="E1272" s="61" t="s">
        <v>17854</v>
      </c>
      <c r="F1272" s="61"/>
      <c r="G1272" s="5"/>
      <c r="H1272" s="5"/>
      <c r="I1272" s="5"/>
      <c r="J1272" s="5"/>
    </row>
    <row r="1273" spans="1:10" ht="14.1" customHeight="1" thickBot="1" x14ac:dyDescent="0.25">
      <c r="A1273" s="82" t="s">
        <v>14828</v>
      </c>
      <c r="B1273" s="62" t="s">
        <v>8528</v>
      </c>
      <c r="C1273" s="71">
        <v>44287</v>
      </c>
      <c r="D1273" s="82" t="s">
        <v>9385</v>
      </c>
      <c r="E1273" s="62" t="s">
        <v>13092</v>
      </c>
      <c r="F1273" s="61" t="s">
        <v>3080</v>
      </c>
      <c r="G1273" s="5"/>
      <c r="H1273" s="5"/>
      <c r="I1273" s="5"/>
      <c r="J1273" s="5"/>
    </row>
    <row r="1274" spans="1:10" ht="14.1" customHeight="1" thickBot="1" x14ac:dyDescent="0.25">
      <c r="A1274" s="83"/>
      <c r="B1274" s="62" t="s">
        <v>1786</v>
      </c>
      <c r="C1274" s="60">
        <f>IF(C1273="","",IF(AND(MONTH(C1273)&gt;=1,MONTH(C1273)&lt;=3),1,IF(AND(MONTH(C1273)&gt;=4,MONTH(C1273)&lt;=6),2,IF(AND(MONTH(C1273)&gt;=7,MONTH(C1273)&lt;=9),3,4))))</f>
        <v>2</v>
      </c>
      <c r="D1274" s="83"/>
      <c r="E1274" s="62" t="s">
        <v>2417</v>
      </c>
      <c r="F1274" s="61" t="s">
        <v>11111</v>
      </c>
      <c r="G1274" s="5"/>
      <c r="H1274" s="5"/>
      <c r="I1274" s="5"/>
      <c r="J1274" s="5"/>
    </row>
    <row r="1275" spans="1:10" ht="14.1" customHeight="1" thickBot="1" x14ac:dyDescent="0.25">
      <c r="A1275" s="83"/>
      <c r="B1275" s="62" t="s">
        <v>12941</v>
      </c>
      <c r="C1275" s="71">
        <v>44288</v>
      </c>
      <c r="D1275" s="83"/>
      <c r="E1275" s="62" t="s">
        <v>3073</v>
      </c>
      <c r="F1275" s="61" t="s">
        <v>11111</v>
      </c>
      <c r="G1275" s="5"/>
      <c r="H1275" s="5"/>
      <c r="I1275" s="5"/>
      <c r="J1275" s="5"/>
    </row>
    <row r="1276" spans="1:10" ht="14.1" customHeight="1" thickBot="1" x14ac:dyDescent="0.25">
      <c r="A1276" s="83"/>
      <c r="B1276" s="62" t="s">
        <v>1786</v>
      </c>
      <c r="C1276" s="60">
        <f>IF(C1275="","",IF(AND(MONTH(C1275)&gt;=1,MONTH(C1275)&lt;=3),1,IF(AND(MONTH(C1275)&gt;=4,MONTH(C1275)&lt;=6),2,IF(AND(MONTH(C1275)&gt;=7,MONTH(C1275)&lt;=9),3,4))))</f>
        <v>2</v>
      </c>
      <c r="D1276" s="83"/>
      <c r="E1276" s="62" t="s">
        <v>13191</v>
      </c>
      <c r="F1276" s="61" t="s">
        <v>11111</v>
      </c>
      <c r="G1276" s="5"/>
      <c r="H1276" s="5"/>
      <c r="I1276" s="5"/>
      <c r="J1276" s="5"/>
    </row>
    <row r="1277" spans="1:10" ht="14.1" customHeight="1" thickBot="1" x14ac:dyDescent="0.25">
      <c r="A1277" s="5"/>
      <c r="B1277" s="5"/>
      <c r="C1277" s="5"/>
      <c r="D1277" s="5"/>
      <c r="E1277" s="5"/>
      <c r="F1277" s="5"/>
      <c r="G1277" s="5"/>
      <c r="H1277" s="5"/>
      <c r="I1277" s="5"/>
      <c r="J1277" s="5"/>
    </row>
    <row r="1278" spans="1:10" ht="14.1" customHeight="1" thickBot="1" x14ac:dyDescent="0.25">
      <c r="A1278" s="67" t="s">
        <v>15735</v>
      </c>
      <c r="B1278" s="67" t="s">
        <v>16146</v>
      </c>
      <c r="C1278" s="67" t="s">
        <v>15641</v>
      </c>
      <c r="D1278" s="67" t="s">
        <v>15251</v>
      </c>
      <c r="E1278" s="67" t="s">
        <v>6932</v>
      </c>
      <c r="F1278" s="67" t="s">
        <v>15280</v>
      </c>
      <c r="G1278" s="5"/>
      <c r="H1278" s="5"/>
      <c r="I1278" s="5"/>
      <c r="J1278" s="5"/>
    </row>
    <row r="1279" spans="1:10" ht="13.5" customHeight="1" x14ac:dyDescent="0.2">
      <c r="A1279" s="63">
        <v>46191608</v>
      </c>
      <c r="B1279" s="64" t="str">
        <f ca="1">IFERROR(INDEX(UNSPSCDes,MATCH(INDIRECT(ADDRESS(ROW(),COLUMN()-1,4)),UNSPSCCode,0)),"")</f>
        <v>Sistema de supresión de incendios</v>
      </c>
      <c r="C1279" s="63" t="s">
        <v>1449</v>
      </c>
      <c r="D1279" s="63">
        <v>1</v>
      </c>
      <c r="E1279" s="66">
        <v>37500</v>
      </c>
      <c r="F1279" s="65">
        <f ca="1">INDIRECT(ADDRESS(ROW(),COLUMN()-2,4))*INDIRECT(ADDRESS(ROW(),COLUMN()-1,4))</f>
        <v>37500</v>
      </c>
      <c r="G1279" s="5"/>
      <c r="H1279" s="5"/>
      <c r="I1279" s="5"/>
      <c r="J1279" s="5"/>
    </row>
    <row r="1280" spans="1:10" ht="14.1" customHeight="1" x14ac:dyDescent="0.2">
      <c r="A1280" s="5"/>
      <c r="B1280" s="5"/>
      <c r="C1280" s="5"/>
      <c r="D1280" s="5"/>
      <c r="E1280" s="68" t="s">
        <v>12549</v>
      </c>
      <c r="F1280" s="69">
        <f ca="1">SUM(Table3116[MONTO TOTAL ESTIMADO])</f>
        <v>37500</v>
      </c>
      <c r="G1280" s="5"/>
      <c r="H1280" s="5" t="str">
        <f>C1272</f>
        <v>Bienes</v>
      </c>
      <c r="I1280" s="5" t="str">
        <f>E1272</f>
        <v>No</v>
      </c>
      <c r="J1280" s="5" t="str">
        <f>D1272</f>
        <v>Compras por debajo del Umbral</v>
      </c>
    </row>
    <row r="1281" spans="1:10" ht="14.1" customHeight="1" thickBot="1" x14ac:dyDescent="0.3"/>
    <row r="1282" spans="1:10" ht="33.75" customHeight="1" thickBot="1" x14ac:dyDescent="0.25">
      <c r="A1282" s="59" t="s">
        <v>16382</v>
      </c>
      <c r="B1282" s="59" t="s">
        <v>161</v>
      </c>
      <c r="C1282" s="59" t="s">
        <v>11723</v>
      </c>
      <c r="D1282" s="59" t="s">
        <v>14377</v>
      </c>
      <c r="E1282" s="59" t="s">
        <v>10961</v>
      </c>
      <c r="F1282" s="59" t="s">
        <v>11094</v>
      </c>
      <c r="G1282" s="5"/>
      <c r="H1282" s="5"/>
      <c r="I1282" s="5"/>
      <c r="J1282" s="5"/>
    </row>
    <row r="1283" spans="1:10" ht="14.1" customHeight="1" thickBot="1" x14ac:dyDescent="0.25">
      <c r="A1283" s="61" t="s">
        <v>18899</v>
      </c>
      <c r="B1283" s="61" t="s">
        <v>18899</v>
      </c>
      <c r="C1283" s="61" t="s">
        <v>17798</v>
      </c>
      <c r="D1283" s="61" t="s">
        <v>10170</v>
      </c>
      <c r="E1283" s="61" t="s">
        <v>17854</v>
      </c>
      <c r="F1283" s="61"/>
      <c r="G1283" s="5"/>
      <c r="H1283" s="5"/>
      <c r="I1283" s="5"/>
      <c r="J1283" s="5"/>
    </row>
    <row r="1284" spans="1:10" ht="14.1" customHeight="1" thickBot="1" x14ac:dyDescent="0.25">
      <c r="A1284" s="82" t="s">
        <v>14828</v>
      </c>
      <c r="B1284" s="62" t="s">
        <v>8528</v>
      </c>
      <c r="C1284" s="71">
        <v>44378</v>
      </c>
      <c r="D1284" s="82" t="s">
        <v>9385</v>
      </c>
      <c r="E1284" s="62" t="s">
        <v>13092</v>
      </c>
      <c r="F1284" s="61" t="s">
        <v>3080</v>
      </c>
      <c r="G1284" s="5"/>
      <c r="H1284" s="5"/>
      <c r="I1284" s="5"/>
      <c r="J1284" s="5"/>
    </row>
    <row r="1285" spans="1:10" ht="14.1" customHeight="1" thickBot="1" x14ac:dyDescent="0.25">
      <c r="A1285" s="83"/>
      <c r="B1285" s="62" t="s">
        <v>1786</v>
      </c>
      <c r="C1285" s="60">
        <f>IF(C1284="","",IF(AND(MONTH(C1284)&gt;=1,MONTH(C1284)&lt;=3),1,IF(AND(MONTH(C1284)&gt;=4,MONTH(C1284)&lt;=6),2,IF(AND(MONTH(C1284)&gt;=7,MONTH(C1284)&lt;=9),3,4))))</f>
        <v>3</v>
      </c>
      <c r="D1285" s="83"/>
      <c r="E1285" s="62" t="s">
        <v>2417</v>
      </c>
      <c r="F1285" s="61" t="s">
        <v>11111</v>
      </c>
      <c r="G1285" s="5"/>
      <c r="H1285" s="5"/>
      <c r="I1285" s="5"/>
      <c r="J1285" s="5"/>
    </row>
    <row r="1286" spans="1:10" ht="14.1" customHeight="1" thickBot="1" x14ac:dyDescent="0.25">
      <c r="A1286" s="83"/>
      <c r="B1286" s="62" t="s">
        <v>12941</v>
      </c>
      <c r="C1286" s="71">
        <v>44379</v>
      </c>
      <c r="D1286" s="83"/>
      <c r="E1286" s="62" t="s">
        <v>3073</v>
      </c>
      <c r="F1286" s="61" t="s">
        <v>11111</v>
      </c>
      <c r="G1286" s="5"/>
      <c r="H1286" s="5"/>
      <c r="I1286" s="5"/>
      <c r="J1286" s="5"/>
    </row>
    <row r="1287" spans="1:10" ht="14.1" customHeight="1" thickBot="1" x14ac:dyDescent="0.25">
      <c r="A1287" s="83"/>
      <c r="B1287" s="62" t="s">
        <v>1786</v>
      </c>
      <c r="C1287" s="60">
        <f>IF(C1286="","",IF(AND(MONTH(C1286)&gt;=1,MONTH(C1286)&lt;=3),1,IF(AND(MONTH(C1286)&gt;=4,MONTH(C1286)&lt;=6),2,IF(AND(MONTH(C1286)&gt;=7,MONTH(C1286)&lt;=9),3,4))))</f>
        <v>3</v>
      </c>
      <c r="D1287" s="83"/>
      <c r="E1287" s="62" t="s">
        <v>13191</v>
      </c>
      <c r="F1287" s="61" t="s">
        <v>11111</v>
      </c>
      <c r="G1287" s="5"/>
      <c r="H1287" s="5"/>
      <c r="I1287" s="5"/>
      <c r="J1287" s="5"/>
    </row>
    <row r="1288" spans="1:10" ht="14.1" customHeight="1" thickBot="1" x14ac:dyDescent="0.25">
      <c r="A1288" s="5"/>
      <c r="B1288" s="5"/>
      <c r="C1288" s="5"/>
      <c r="D1288" s="5"/>
      <c r="E1288" s="5"/>
      <c r="F1288" s="5"/>
      <c r="G1288" s="5"/>
      <c r="H1288" s="5"/>
      <c r="I1288" s="5"/>
      <c r="J1288" s="5"/>
    </row>
    <row r="1289" spans="1:10" ht="14.1" customHeight="1" thickBot="1" x14ac:dyDescent="0.25">
      <c r="A1289" s="67" t="s">
        <v>15735</v>
      </c>
      <c r="B1289" s="67" t="s">
        <v>16146</v>
      </c>
      <c r="C1289" s="67" t="s">
        <v>15641</v>
      </c>
      <c r="D1289" s="67" t="s">
        <v>15251</v>
      </c>
      <c r="E1289" s="67" t="s">
        <v>6932</v>
      </c>
      <c r="F1289" s="67" t="s">
        <v>15280</v>
      </c>
      <c r="G1289" s="5"/>
      <c r="H1289" s="5"/>
      <c r="I1289" s="5"/>
      <c r="J1289" s="5"/>
    </row>
    <row r="1290" spans="1:10" ht="13.5" customHeight="1" x14ac:dyDescent="0.2">
      <c r="A1290" s="63">
        <v>46191608</v>
      </c>
      <c r="B1290" s="64" t="str">
        <f ca="1">IFERROR(INDEX(UNSPSCDes,MATCH(INDIRECT(ADDRESS(ROW(),COLUMN()-1,4)),UNSPSCCode,0)),"")</f>
        <v>Sistema de supresión de incendios</v>
      </c>
      <c r="C1290" s="63" t="s">
        <v>1449</v>
      </c>
      <c r="D1290" s="63">
        <v>1</v>
      </c>
      <c r="E1290" s="66">
        <v>37500</v>
      </c>
      <c r="F1290" s="65">
        <f ca="1">INDIRECT(ADDRESS(ROW(),COLUMN()-2,4))*INDIRECT(ADDRESS(ROW(),COLUMN()-1,4))</f>
        <v>37500</v>
      </c>
      <c r="G1290" s="5"/>
      <c r="H1290" s="5"/>
      <c r="I1290" s="5"/>
      <c r="J1290" s="5"/>
    </row>
    <row r="1291" spans="1:10" ht="14.1" customHeight="1" x14ac:dyDescent="0.2">
      <c r="A1291" s="5"/>
      <c r="B1291" s="5"/>
      <c r="C1291" s="5"/>
      <c r="D1291" s="5"/>
      <c r="E1291" s="68" t="s">
        <v>12549</v>
      </c>
      <c r="F1291" s="69">
        <f ca="1">SUM(Table3117[MONTO TOTAL ESTIMADO])</f>
        <v>37500</v>
      </c>
      <c r="G1291" s="5"/>
      <c r="H1291" s="5" t="str">
        <f>C1283</f>
        <v>Bienes</v>
      </c>
      <c r="I1291" s="5" t="str">
        <f>E1283</f>
        <v>No</v>
      </c>
      <c r="J1291" s="5" t="str">
        <f>D1283</f>
        <v>Compras por debajo del Umbral</v>
      </c>
    </row>
    <row r="1292" spans="1:10" ht="14.1" customHeight="1" thickBot="1" x14ac:dyDescent="0.3"/>
    <row r="1293" spans="1:10" ht="33.75" customHeight="1" thickBot="1" x14ac:dyDescent="0.25">
      <c r="A1293" s="59" t="s">
        <v>16382</v>
      </c>
      <c r="B1293" s="59" t="s">
        <v>161</v>
      </c>
      <c r="C1293" s="59" t="s">
        <v>11723</v>
      </c>
      <c r="D1293" s="59" t="s">
        <v>14377</v>
      </c>
      <c r="E1293" s="59" t="s">
        <v>10961</v>
      </c>
      <c r="F1293" s="59" t="s">
        <v>11094</v>
      </c>
      <c r="G1293" s="5"/>
      <c r="H1293" s="5"/>
      <c r="I1293" s="5"/>
      <c r="J1293" s="5"/>
    </row>
    <row r="1294" spans="1:10" ht="14.1" customHeight="1" thickBot="1" x14ac:dyDescent="0.25">
      <c r="A1294" s="61" t="s">
        <v>18899</v>
      </c>
      <c r="B1294" s="61" t="s">
        <v>18899</v>
      </c>
      <c r="C1294" s="61" t="s">
        <v>17798</v>
      </c>
      <c r="D1294" s="61" t="s">
        <v>10170</v>
      </c>
      <c r="E1294" s="61" t="s">
        <v>17854</v>
      </c>
      <c r="F1294" s="61"/>
      <c r="G1294" s="5"/>
      <c r="H1294" s="5"/>
      <c r="I1294" s="5"/>
      <c r="J1294" s="5"/>
    </row>
    <row r="1295" spans="1:10" ht="14.1" customHeight="1" thickBot="1" x14ac:dyDescent="0.25">
      <c r="A1295" s="82" t="s">
        <v>14828</v>
      </c>
      <c r="B1295" s="62" t="s">
        <v>8528</v>
      </c>
      <c r="C1295" s="71">
        <v>44470</v>
      </c>
      <c r="D1295" s="82" t="s">
        <v>9385</v>
      </c>
      <c r="E1295" s="62" t="s">
        <v>13092</v>
      </c>
      <c r="F1295" s="61" t="s">
        <v>3080</v>
      </c>
      <c r="G1295" s="5"/>
      <c r="H1295" s="5"/>
      <c r="I1295" s="5"/>
      <c r="J1295" s="5"/>
    </row>
    <row r="1296" spans="1:10" ht="14.1" customHeight="1" thickBot="1" x14ac:dyDescent="0.25">
      <c r="A1296" s="83"/>
      <c r="B1296" s="62" t="s">
        <v>1786</v>
      </c>
      <c r="C1296" s="60">
        <f>IF(C1295="","",IF(AND(MONTH(C1295)&gt;=1,MONTH(C1295)&lt;=3),1,IF(AND(MONTH(C1295)&gt;=4,MONTH(C1295)&lt;=6),2,IF(AND(MONTH(C1295)&gt;=7,MONTH(C1295)&lt;=9),3,4))))</f>
        <v>4</v>
      </c>
      <c r="D1296" s="83"/>
      <c r="E1296" s="62" t="s">
        <v>2417</v>
      </c>
      <c r="F1296" s="61" t="s">
        <v>11111</v>
      </c>
      <c r="G1296" s="5"/>
      <c r="H1296" s="5"/>
      <c r="I1296" s="5"/>
      <c r="J1296" s="5"/>
    </row>
    <row r="1297" spans="1:10" ht="14.1" customHeight="1" thickBot="1" x14ac:dyDescent="0.25">
      <c r="A1297" s="83"/>
      <c r="B1297" s="62" t="s">
        <v>12941</v>
      </c>
      <c r="C1297" s="71">
        <v>44473</v>
      </c>
      <c r="D1297" s="83"/>
      <c r="E1297" s="62" t="s">
        <v>3073</v>
      </c>
      <c r="F1297" s="61" t="s">
        <v>11111</v>
      </c>
      <c r="G1297" s="5"/>
      <c r="H1297" s="5"/>
      <c r="I1297" s="5"/>
      <c r="J1297" s="5"/>
    </row>
    <row r="1298" spans="1:10" ht="14.1" customHeight="1" thickBot="1" x14ac:dyDescent="0.25">
      <c r="A1298" s="83"/>
      <c r="B1298" s="62" t="s">
        <v>1786</v>
      </c>
      <c r="C1298" s="60">
        <f>IF(C1297="","",IF(AND(MONTH(C1297)&gt;=1,MONTH(C1297)&lt;=3),1,IF(AND(MONTH(C1297)&gt;=4,MONTH(C1297)&lt;=6),2,IF(AND(MONTH(C1297)&gt;=7,MONTH(C1297)&lt;=9),3,4))))</f>
        <v>4</v>
      </c>
      <c r="D1298" s="83"/>
      <c r="E1298" s="62" t="s">
        <v>13191</v>
      </c>
      <c r="F1298" s="61" t="s">
        <v>11111</v>
      </c>
      <c r="G1298" s="5"/>
      <c r="H1298" s="5"/>
      <c r="I1298" s="5"/>
      <c r="J1298" s="5"/>
    </row>
    <row r="1299" spans="1:10" ht="14.1" customHeight="1" thickBot="1" x14ac:dyDescent="0.25">
      <c r="A1299" s="5"/>
      <c r="B1299" s="5"/>
      <c r="C1299" s="5"/>
      <c r="D1299" s="5"/>
      <c r="E1299" s="5"/>
      <c r="F1299" s="5"/>
      <c r="G1299" s="5"/>
      <c r="H1299" s="5"/>
      <c r="I1299" s="5"/>
      <c r="J1299" s="5"/>
    </row>
    <row r="1300" spans="1:10" ht="14.1" customHeight="1" thickBot="1" x14ac:dyDescent="0.25">
      <c r="A1300" s="67" t="s">
        <v>15735</v>
      </c>
      <c r="B1300" s="67" t="s">
        <v>16146</v>
      </c>
      <c r="C1300" s="67" t="s">
        <v>15641</v>
      </c>
      <c r="D1300" s="67" t="s">
        <v>15251</v>
      </c>
      <c r="E1300" s="67" t="s">
        <v>6932</v>
      </c>
      <c r="F1300" s="67" t="s">
        <v>15280</v>
      </c>
      <c r="G1300" s="5"/>
      <c r="H1300" s="5"/>
      <c r="I1300" s="5"/>
      <c r="J1300" s="5"/>
    </row>
    <row r="1301" spans="1:10" ht="13.5" customHeight="1" x14ac:dyDescent="0.2">
      <c r="A1301" s="63">
        <v>46191608</v>
      </c>
      <c r="B1301" s="64" t="str">
        <f ca="1">IFERROR(INDEX(UNSPSCDes,MATCH(INDIRECT(ADDRESS(ROW(),COLUMN()-1,4)),UNSPSCCode,0)),"")</f>
        <v>Sistema de supresión de incendios</v>
      </c>
      <c r="C1301" s="63" t="s">
        <v>1449</v>
      </c>
      <c r="D1301" s="63">
        <v>1</v>
      </c>
      <c r="E1301" s="66">
        <v>37500</v>
      </c>
      <c r="F1301" s="65">
        <f ca="1">INDIRECT(ADDRESS(ROW(),COLUMN()-2,4))*INDIRECT(ADDRESS(ROW(),COLUMN()-1,4))</f>
        <v>37500</v>
      </c>
      <c r="G1301" s="5"/>
      <c r="H1301" s="5"/>
      <c r="I1301" s="5"/>
      <c r="J1301" s="5"/>
    </row>
    <row r="1302" spans="1:10" ht="14.1" customHeight="1" x14ac:dyDescent="0.2">
      <c r="A1302" s="5"/>
      <c r="B1302" s="5"/>
      <c r="C1302" s="5"/>
      <c r="D1302" s="5"/>
      <c r="E1302" s="68" t="s">
        <v>12549</v>
      </c>
      <c r="F1302" s="69">
        <f ca="1">SUM(Table3118[MONTO TOTAL ESTIMADO])</f>
        <v>37500</v>
      </c>
      <c r="G1302" s="5"/>
      <c r="H1302" s="5" t="str">
        <f>C1294</f>
        <v>Bienes</v>
      </c>
      <c r="I1302" s="5" t="str">
        <f>E1294</f>
        <v>No</v>
      </c>
      <c r="J1302" s="5" t="str">
        <f>D1294</f>
        <v>Compras por debajo del Umbral</v>
      </c>
    </row>
    <row r="1303" spans="1:10" ht="14.1" customHeight="1" thickBot="1" x14ac:dyDescent="0.3"/>
    <row r="1304" spans="1:10" ht="33.75" customHeight="1" thickBot="1" x14ac:dyDescent="0.25">
      <c r="A1304" s="59" t="s">
        <v>16382</v>
      </c>
      <c r="B1304" s="59" t="s">
        <v>161</v>
      </c>
      <c r="C1304" s="59" t="s">
        <v>11723</v>
      </c>
      <c r="D1304" s="59" t="s">
        <v>14377</v>
      </c>
      <c r="E1304" s="59" t="s">
        <v>10961</v>
      </c>
      <c r="F1304" s="59" t="s">
        <v>11094</v>
      </c>
      <c r="G1304" s="5"/>
      <c r="H1304" s="5"/>
      <c r="I1304" s="5"/>
      <c r="J1304" s="5"/>
    </row>
    <row r="1305" spans="1:10" ht="14.1" customHeight="1" thickBot="1" x14ac:dyDescent="0.25">
      <c r="A1305" s="61" t="s">
        <v>18900</v>
      </c>
      <c r="B1305" s="61" t="s">
        <v>18901</v>
      </c>
      <c r="C1305" s="61" t="s">
        <v>17798</v>
      </c>
      <c r="D1305" s="61" t="s">
        <v>10170</v>
      </c>
      <c r="E1305" s="61" t="s">
        <v>8854</v>
      </c>
      <c r="F1305" s="61"/>
      <c r="G1305" s="5"/>
      <c r="H1305" s="5"/>
      <c r="I1305" s="5"/>
      <c r="J1305" s="5"/>
    </row>
    <row r="1306" spans="1:10" ht="14.1" customHeight="1" thickBot="1" x14ac:dyDescent="0.25">
      <c r="A1306" s="82" t="s">
        <v>14828</v>
      </c>
      <c r="B1306" s="62" t="s">
        <v>8528</v>
      </c>
      <c r="C1306" s="71">
        <v>44197</v>
      </c>
      <c r="D1306" s="82" t="s">
        <v>9385</v>
      </c>
      <c r="E1306" s="62" t="s">
        <v>13092</v>
      </c>
      <c r="F1306" s="61" t="s">
        <v>3080</v>
      </c>
      <c r="G1306" s="5"/>
      <c r="H1306" s="5"/>
      <c r="I1306" s="5"/>
      <c r="J1306" s="5"/>
    </row>
    <row r="1307" spans="1:10" ht="14.1" customHeight="1" thickBot="1" x14ac:dyDescent="0.25">
      <c r="A1307" s="83"/>
      <c r="B1307" s="62" t="s">
        <v>1786</v>
      </c>
      <c r="C1307" s="60">
        <f>IF(C1306="","",IF(AND(MONTH(C1306)&gt;=1,MONTH(C1306)&lt;=3),1,IF(AND(MONTH(C1306)&gt;=4,MONTH(C1306)&lt;=6),2,IF(AND(MONTH(C1306)&gt;=7,MONTH(C1306)&lt;=9),3,4))))</f>
        <v>1</v>
      </c>
      <c r="D1307" s="83"/>
      <c r="E1307" s="62" t="s">
        <v>2417</v>
      </c>
      <c r="F1307" s="61" t="s">
        <v>11111</v>
      </c>
      <c r="G1307" s="5"/>
      <c r="H1307" s="5"/>
      <c r="I1307" s="5"/>
      <c r="J1307" s="5"/>
    </row>
    <row r="1308" spans="1:10" ht="14.1" customHeight="1" thickBot="1" x14ac:dyDescent="0.25">
      <c r="A1308" s="83"/>
      <c r="B1308" s="62" t="s">
        <v>12941</v>
      </c>
      <c r="C1308" s="71">
        <v>44198</v>
      </c>
      <c r="D1308" s="83"/>
      <c r="E1308" s="62" t="s">
        <v>3073</v>
      </c>
      <c r="F1308" s="61" t="s">
        <v>11111</v>
      </c>
      <c r="G1308" s="5"/>
      <c r="H1308" s="5"/>
      <c r="I1308" s="5"/>
      <c r="J1308" s="5"/>
    </row>
    <row r="1309" spans="1:10" ht="14.1" customHeight="1" thickBot="1" x14ac:dyDescent="0.25">
      <c r="A1309" s="83"/>
      <c r="B1309" s="62" t="s">
        <v>1786</v>
      </c>
      <c r="C1309" s="60">
        <f>IF(C1308="","",IF(AND(MONTH(C1308)&gt;=1,MONTH(C1308)&lt;=3),1,IF(AND(MONTH(C1308)&gt;=4,MONTH(C1308)&lt;=6),2,IF(AND(MONTH(C1308)&gt;=7,MONTH(C1308)&lt;=9),3,4))))</f>
        <v>1</v>
      </c>
      <c r="D1309" s="83"/>
      <c r="E1309" s="62" t="s">
        <v>13191</v>
      </c>
      <c r="F1309" s="61" t="s">
        <v>11111</v>
      </c>
      <c r="G1309" s="5"/>
      <c r="H1309" s="5"/>
      <c r="I1309" s="5"/>
      <c r="J1309" s="5"/>
    </row>
    <row r="1310" spans="1:10" ht="14.1" customHeight="1" thickBot="1" x14ac:dyDescent="0.25">
      <c r="A1310" s="5"/>
      <c r="B1310" s="5"/>
      <c r="C1310" s="5"/>
      <c r="D1310" s="5"/>
      <c r="E1310" s="5"/>
      <c r="F1310" s="5"/>
      <c r="G1310" s="5"/>
      <c r="H1310" s="5"/>
      <c r="I1310" s="5"/>
      <c r="J1310" s="5"/>
    </row>
    <row r="1311" spans="1:10" ht="14.1" customHeight="1" thickBot="1" x14ac:dyDescent="0.25">
      <c r="A1311" s="67" t="s">
        <v>15735</v>
      </c>
      <c r="B1311" s="67" t="s">
        <v>16146</v>
      </c>
      <c r="C1311" s="67" t="s">
        <v>15641</v>
      </c>
      <c r="D1311" s="67" t="s">
        <v>15251</v>
      </c>
      <c r="E1311" s="67" t="s">
        <v>6932</v>
      </c>
      <c r="F1311" s="67" t="s">
        <v>15280</v>
      </c>
      <c r="G1311" s="5"/>
      <c r="H1311" s="5"/>
      <c r="I1311" s="5"/>
      <c r="J1311" s="5"/>
    </row>
    <row r="1312" spans="1:10" ht="13.5" customHeight="1" x14ac:dyDescent="0.2">
      <c r="A1312" s="63">
        <v>47131805</v>
      </c>
      <c r="B1312" s="64" t="str">
        <f ca="1">IFERROR(INDEX(UNSPSCDes,MATCH(INDIRECT(ADDRESS(ROW(),COLUMN()-1,4)),UNSPSCCode,0)),"")</f>
        <v>Limpiadores de propósito general</v>
      </c>
      <c r="C1312" s="63" t="s">
        <v>1449</v>
      </c>
      <c r="D1312" s="63">
        <v>1</v>
      </c>
      <c r="E1312" s="66">
        <v>125000</v>
      </c>
      <c r="F1312" s="65">
        <f ca="1">INDIRECT(ADDRESS(ROW(),COLUMN()-2,4))*INDIRECT(ADDRESS(ROW(),COLUMN()-1,4))</f>
        <v>125000</v>
      </c>
      <c r="G1312" s="5"/>
      <c r="H1312" s="5"/>
      <c r="I1312" s="5"/>
      <c r="J1312" s="5"/>
    </row>
    <row r="1313" spans="1:10" ht="14.1" customHeight="1" x14ac:dyDescent="0.2">
      <c r="A1313" s="5"/>
      <c r="B1313" s="5"/>
      <c r="C1313" s="5"/>
      <c r="D1313" s="5"/>
      <c r="E1313" s="68" t="s">
        <v>12549</v>
      </c>
      <c r="F1313" s="69">
        <f ca="1">SUM(Table3119[MONTO TOTAL ESTIMADO])</f>
        <v>125000</v>
      </c>
      <c r="G1313" s="5"/>
      <c r="H1313" s="5" t="str">
        <f>C1305</f>
        <v>Bienes</v>
      </c>
      <c r="I1313" s="5" t="str">
        <f>E1305</f>
        <v>Sí</v>
      </c>
      <c r="J1313" s="5" t="str">
        <f>D1305</f>
        <v>Compras por debajo del Umbral</v>
      </c>
    </row>
    <row r="1314" spans="1:10" ht="14.1" customHeight="1" thickBot="1" x14ac:dyDescent="0.3"/>
    <row r="1315" spans="1:10" ht="33.75" customHeight="1" thickBot="1" x14ac:dyDescent="0.25">
      <c r="A1315" s="59" t="s">
        <v>16382</v>
      </c>
      <c r="B1315" s="59" t="s">
        <v>161</v>
      </c>
      <c r="C1315" s="59" t="s">
        <v>11723</v>
      </c>
      <c r="D1315" s="59" t="s">
        <v>14377</v>
      </c>
      <c r="E1315" s="59" t="s">
        <v>10961</v>
      </c>
      <c r="F1315" s="59" t="s">
        <v>11094</v>
      </c>
      <c r="G1315" s="5"/>
      <c r="H1315" s="5"/>
      <c r="I1315" s="5"/>
      <c r="J1315" s="5"/>
    </row>
    <row r="1316" spans="1:10" ht="14.1" customHeight="1" thickBot="1" x14ac:dyDescent="0.25">
      <c r="A1316" s="61" t="s">
        <v>18900</v>
      </c>
      <c r="B1316" s="61" t="s">
        <v>18901</v>
      </c>
      <c r="C1316" s="61" t="s">
        <v>17798</v>
      </c>
      <c r="D1316" s="61" t="s">
        <v>10170</v>
      </c>
      <c r="E1316" s="61" t="s">
        <v>8854</v>
      </c>
      <c r="F1316" s="61"/>
      <c r="G1316" s="5"/>
      <c r="H1316" s="5"/>
      <c r="I1316" s="5"/>
      <c r="J1316" s="5"/>
    </row>
    <row r="1317" spans="1:10" ht="14.1" customHeight="1" thickBot="1" x14ac:dyDescent="0.25">
      <c r="A1317" s="82" t="s">
        <v>14828</v>
      </c>
      <c r="B1317" s="62" t="s">
        <v>8528</v>
      </c>
      <c r="C1317" s="71">
        <v>44287</v>
      </c>
      <c r="D1317" s="82" t="s">
        <v>9385</v>
      </c>
      <c r="E1317" s="62" t="s">
        <v>13092</v>
      </c>
      <c r="F1317" s="61" t="s">
        <v>3080</v>
      </c>
      <c r="G1317" s="5"/>
      <c r="H1317" s="5"/>
      <c r="I1317" s="5"/>
      <c r="J1317" s="5"/>
    </row>
    <row r="1318" spans="1:10" ht="14.1" customHeight="1" thickBot="1" x14ac:dyDescent="0.25">
      <c r="A1318" s="83"/>
      <c r="B1318" s="62" t="s">
        <v>1786</v>
      </c>
      <c r="C1318" s="60">
        <f>IF(C1317="","",IF(AND(MONTH(C1317)&gt;=1,MONTH(C1317)&lt;=3),1,IF(AND(MONTH(C1317)&gt;=4,MONTH(C1317)&lt;=6),2,IF(AND(MONTH(C1317)&gt;=7,MONTH(C1317)&lt;=9),3,4))))</f>
        <v>2</v>
      </c>
      <c r="D1318" s="83"/>
      <c r="E1318" s="62" t="s">
        <v>2417</v>
      </c>
      <c r="F1318" s="61" t="s">
        <v>11111</v>
      </c>
      <c r="G1318" s="5"/>
      <c r="H1318" s="5"/>
      <c r="I1318" s="5"/>
      <c r="J1318" s="5"/>
    </row>
    <row r="1319" spans="1:10" ht="14.1" customHeight="1" thickBot="1" x14ac:dyDescent="0.25">
      <c r="A1319" s="83"/>
      <c r="B1319" s="62" t="s">
        <v>12941</v>
      </c>
      <c r="C1319" s="71">
        <v>44288</v>
      </c>
      <c r="D1319" s="83"/>
      <c r="E1319" s="62" t="s">
        <v>3073</v>
      </c>
      <c r="F1319" s="61" t="s">
        <v>11111</v>
      </c>
      <c r="G1319" s="5"/>
      <c r="H1319" s="5"/>
      <c r="I1319" s="5"/>
      <c r="J1319" s="5"/>
    </row>
    <row r="1320" spans="1:10" ht="14.1" customHeight="1" thickBot="1" x14ac:dyDescent="0.25">
      <c r="A1320" s="83"/>
      <c r="B1320" s="62" t="s">
        <v>1786</v>
      </c>
      <c r="C1320" s="60">
        <f>IF(C1319="","",IF(AND(MONTH(C1319)&gt;=1,MONTH(C1319)&lt;=3),1,IF(AND(MONTH(C1319)&gt;=4,MONTH(C1319)&lt;=6),2,IF(AND(MONTH(C1319)&gt;=7,MONTH(C1319)&lt;=9),3,4))))</f>
        <v>2</v>
      </c>
      <c r="D1320" s="83"/>
      <c r="E1320" s="62" t="s">
        <v>13191</v>
      </c>
      <c r="F1320" s="61" t="s">
        <v>11111</v>
      </c>
      <c r="G1320" s="5"/>
      <c r="H1320" s="5"/>
      <c r="I1320" s="5"/>
      <c r="J1320" s="5"/>
    </row>
    <row r="1321" spans="1:10" ht="14.1" customHeight="1" thickBot="1" x14ac:dyDescent="0.25">
      <c r="A1321" s="5"/>
      <c r="B1321" s="5"/>
      <c r="C1321" s="5"/>
      <c r="D1321" s="5"/>
      <c r="E1321" s="5"/>
      <c r="F1321" s="5"/>
      <c r="G1321" s="5"/>
      <c r="H1321" s="5"/>
      <c r="I1321" s="5"/>
      <c r="J1321" s="5"/>
    </row>
    <row r="1322" spans="1:10" ht="14.1" customHeight="1" thickBot="1" x14ac:dyDescent="0.25">
      <c r="A1322" s="67" t="s">
        <v>15735</v>
      </c>
      <c r="B1322" s="67" t="s">
        <v>16146</v>
      </c>
      <c r="C1322" s="67" t="s">
        <v>15641</v>
      </c>
      <c r="D1322" s="67" t="s">
        <v>15251</v>
      </c>
      <c r="E1322" s="67" t="s">
        <v>6932</v>
      </c>
      <c r="F1322" s="67" t="s">
        <v>15280</v>
      </c>
      <c r="G1322" s="5"/>
      <c r="H1322" s="5"/>
      <c r="I1322" s="5"/>
      <c r="J1322" s="5"/>
    </row>
    <row r="1323" spans="1:10" ht="13.5" customHeight="1" x14ac:dyDescent="0.2">
      <c r="A1323" s="63">
        <v>47131805</v>
      </c>
      <c r="B1323" s="64" t="str">
        <f ca="1">IFERROR(INDEX(UNSPSCDes,MATCH(INDIRECT(ADDRESS(ROW(),COLUMN()-1,4)),UNSPSCCode,0)),"")</f>
        <v>Limpiadores de propósito general</v>
      </c>
      <c r="C1323" s="63" t="s">
        <v>1449</v>
      </c>
      <c r="D1323" s="63">
        <v>1</v>
      </c>
      <c r="E1323" s="66">
        <v>125000</v>
      </c>
      <c r="F1323" s="65">
        <f ca="1">INDIRECT(ADDRESS(ROW(),COLUMN()-2,4))*INDIRECT(ADDRESS(ROW(),COLUMN()-1,4))</f>
        <v>125000</v>
      </c>
      <c r="G1323" s="5"/>
      <c r="H1323" s="5"/>
      <c r="I1323" s="5"/>
      <c r="J1323" s="5"/>
    </row>
    <row r="1324" spans="1:10" ht="14.1" customHeight="1" x14ac:dyDescent="0.2">
      <c r="A1324" s="5"/>
      <c r="B1324" s="5"/>
      <c r="C1324" s="5"/>
      <c r="D1324" s="5"/>
      <c r="E1324" s="68" t="s">
        <v>12549</v>
      </c>
      <c r="F1324" s="69">
        <f ca="1">SUM(Table3120[MONTO TOTAL ESTIMADO])</f>
        <v>125000</v>
      </c>
      <c r="G1324" s="5"/>
      <c r="H1324" s="5" t="str">
        <f>C1316</f>
        <v>Bienes</v>
      </c>
      <c r="I1324" s="5" t="str">
        <f>E1316</f>
        <v>Sí</v>
      </c>
      <c r="J1324" s="5" t="str">
        <f>D1316</f>
        <v>Compras por debajo del Umbral</v>
      </c>
    </row>
    <row r="1325" spans="1:10" ht="14.1" customHeight="1" thickBot="1" x14ac:dyDescent="0.3"/>
    <row r="1326" spans="1:10" ht="33.75" customHeight="1" thickBot="1" x14ac:dyDescent="0.25">
      <c r="A1326" s="59" t="s">
        <v>16382</v>
      </c>
      <c r="B1326" s="59" t="s">
        <v>161</v>
      </c>
      <c r="C1326" s="59" t="s">
        <v>11723</v>
      </c>
      <c r="D1326" s="59" t="s">
        <v>14377</v>
      </c>
      <c r="E1326" s="59" t="s">
        <v>10961</v>
      </c>
      <c r="F1326" s="59" t="s">
        <v>11094</v>
      </c>
      <c r="G1326" s="5"/>
      <c r="H1326" s="5"/>
      <c r="I1326" s="5"/>
      <c r="J1326" s="5"/>
    </row>
    <row r="1327" spans="1:10" ht="14.1" customHeight="1" thickBot="1" x14ac:dyDescent="0.25">
      <c r="A1327" s="61" t="s">
        <v>18900</v>
      </c>
      <c r="B1327" s="61" t="s">
        <v>18901</v>
      </c>
      <c r="C1327" s="61" t="s">
        <v>17798</v>
      </c>
      <c r="D1327" s="61" t="s">
        <v>10170</v>
      </c>
      <c r="E1327" s="61" t="s">
        <v>8854</v>
      </c>
      <c r="F1327" s="61"/>
      <c r="G1327" s="5"/>
      <c r="H1327" s="5"/>
      <c r="I1327" s="5"/>
      <c r="J1327" s="5"/>
    </row>
    <row r="1328" spans="1:10" ht="14.1" customHeight="1" thickBot="1" x14ac:dyDescent="0.25">
      <c r="A1328" s="82" t="s">
        <v>14828</v>
      </c>
      <c r="B1328" s="62" t="s">
        <v>8528</v>
      </c>
      <c r="C1328" s="71">
        <v>44378</v>
      </c>
      <c r="D1328" s="82" t="s">
        <v>9385</v>
      </c>
      <c r="E1328" s="62" t="s">
        <v>13092</v>
      </c>
      <c r="F1328" s="61" t="s">
        <v>3080</v>
      </c>
      <c r="G1328" s="5"/>
      <c r="H1328" s="5"/>
      <c r="I1328" s="5"/>
      <c r="J1328" s="5"/>
    </row>
    <row r="1329" spans="1:10" ht="14.1" customHeight="1" thickBot="1" x14ac:dyDescent="0.25">
      <c r="A1329" s="83"/>
      <c r="B1329" s="62" t="s">
        <v>1786</v>
      </c>
      <c r="C1329" s="60">
        <f>IF(C1328="","",IF(AND(MONTH(C1328)&gt;=1,MONTH(C1328)&lt;=3),1,IF(AND(MONTH(C1328)&gt;=4,MONTH(C1328)&lt;=6),2,IF(AND(MONTH(C1328)&gt;=7,MONTH(C1328)&lt;=9),3,4))))</f>
        <v>3</v>
      </c>
      <c r="D1329" s="83"/>
      <c r="E1329" s="62" t="s">
        <v>2417</v>
      </c>
      <c r="F1329" s="61" t="s">
        <v>11111</v>
      </c>
      <c r="G1329" s="5"/>
      <c r="H1329" s="5"/>
      <c r="I1329" s="5"/>
      <c r="J1329" s="5"/>
    </row>
    <row r="1330" spans="1:10" ht="14.1" customHeight="1" thickBot="1" x14ac:dyDescent="0.25">
      <c r="A1330" s="83"/>
      <c r="B1330" s="62" t="s">
        <v>12941</v>
      </c>
      <c r="C1330" s="71">
        <v>44379</v>
      </c>
      <c r="D1330" s="83"/>
      <c r="E1330" s="62" t="s">
        <v>3073</v>
      </c>
      <c r="F1330" s="61" t="s">
        <v>11111</v>
      </c>
      <c r="G1330" s="5"/>
      <c r="H1330" s="5"/>
      <c r="I1330" s="5"/>
      <c r="J1330" s="5"/>
    </row>
    <row r="1331" spans="1:10" ht="14.1" customHeight="1" thickBot="1" x14ac:dyDescent="0.25">
      <c r="A1331" s="83"/>
      <c r="B1331" s="62" t="s">
        <v>1786</v>
      </c>
      <c r="C1331" s="60">
        <f>IF(C1330="","",IF(AND(MONTH(C1330)&gt;=1,MONTH(C1330)&lt;=3),1,IF(AND(MONTH(C1330)&gt;=4,MONTH(C1330)&lt;=6),2,IF(AND(MONTH(C1330)&gt;=7,MONTH(C1330)&lt;=9),3,4))))</f>
        <v>3</v>
      </c>
      <c r="D1331" s="83"/>
      <c r="E1331" s="62" t="s">
        <v>13191</v>
      </c>
      <c r="F1331" s="61" t="s">
        <v>11111</v>
      </c>
      <c r="G1331" s="5"/>
      <c r="H1331" s="5"/>
      <c r="I1331" s="5"/>
      <c r="J1331" s="5"/>
    </row>
    <row r="1332" spans="1:10" ht="14.1" customHeight="1" thickBot="1" x14ac:dyDescent="0.25">
      <c r="A1332" s="5"/>
      <c r="B1332" s="5"/>
      <c r="C1332" s="5"/>
      <c r="D1332" s="5"/>
      <c r="E1332" s="5"/>
      <c r="F1332" s="5"/>
      <c r="G1332" s="5"/>
      <c r="H1332" s="5"/>
      <c r="I1332" s="5"/>
      <c r="J1332" s="5"/>
    </row>
    <row r="1333" spans="1:10" ht="14.1" customHeight="1" thickBot="1" x14ac:dyDescent="0.25">
      <c r="A1333" s="67" t="s">
        <v>15735</v>
      </c>
      <c r="B1333" s="67" t="s">
        <v>16146</v>
      </c>
      <c r="C1333" s="67" t="s">
        <v>15641</v>
      </c>
      <c r="D1333" s="67" t="s">
        <v>15251</v>
      </c>
      <c r="E1333" s="67" t="s">
        <v>6932</v>
      </c>
      <c r="F1333" s="67" t="s">
        <v>15280</v>
      </c>
      <c r="G1333" s="5"/>
      <c r="H1333" s="5"/>
      <c r="I1333" s="5"/>
      <c r="J1333" s="5"/>
    </row>
    <row r="1334" spans="1:10" ht="13.5" customHeight="1" x14ac:dyDescent="0.2">
      <c r="A1334" s="63">
        <v>47131805</v>
      </c>
      <c r="B1334" s="64" t="str">
        <f ca="1">IFERROR(INDEX(UNSPSCDes,MATCH(INDIRECT(ADDRESS(ROW(),COLUMN()-1,4)),UNSPSCCode,0)),"")</f>
        <v>Limpiadores de propósito general</v>
      </c>
      <c r="C1334" s="63" t="s">
        <v>1449</v>
      </c>
      <c r="D1334" s="63">
        <v>1</v>
      </c>
      <c r="E1334" s="66">
        <v>125000</v>
      </c>
      <c r="F1334" s="65">
        <f ca="1">INDIRECT(ADDRESS(ROW(),COLUMN()-2,4))*INDIRECT(ADDRESS(ROW(),COLUMN()-1,4))</f>
        <v>125000</v>
      </c>
      <c r="G1334" s="5"/>
      <c r="H1334" s="5"/>
      <c r="I1334" s="5"/>
      <c r="J1334" s="5"/>
    </row>
    <row r="1335" spans="1:10" ht="14.1" customHeight="1" x14ac:dyDescent="0.2">
      <c r="A1335" s="5"/>
      <c r="B1335" s="5"/>
      <c r="C1335" s="5"/>
      <c r="D1335" s="5"/>
      <c r="E1335" s="68" t="s">
        <v>12549</v>
      </c>
      <c r="F1335" s="69">
        <f ca="1">SUM(Table3121[MONTO TOTAL ESTIMADO])</f>
        <v>125000</v>
      </c>
      <c r="G1335" s="5"/>
      <c r="H1335" s="5" t="str">
        <f>C1327</f>
        <v>Bienes</v>
      </c>
      <c r="I1335" s="5" t="str">
        <f>E1327</f>
        <v>Sí</v>
      </c>
      <c r="J1335" s="5" t="str">
        <f>D1327</f>
        <v>Compras por debajo del Umbral</v>
      </c>
    </row>
    <row r="1336" spans="1:10" ht="14.1" customHeight="1" thickBot="1" x14ac:dyDescent="0.3"/>
    <row r="1337" spans="1:10" ht="33.75" customHeight="1" thickBot="1" x14ac:dyDescent="0.25">
      <c r="A1337" s="59" t="s">
        <v>16382</v>
      </c>
      <c r="B1337" s="59" t="s">
        <v>161</v>
      </c>
      <c r="C1337" s="59" t="s">
        <v>11723</v>
      </c>
      <c r="D1337" s="59" t="s">
        <v>14377</v>
      </c>
      <c r="E1337" s="59" t="s">
        <v>10961</v>
      </c>
      <c r="F1337" s="59" t="s">
        <v>11094</v>
      </c>
      <c r="G1337" s="5"/>
      <c r="H1337" s="5"/>
      <c r="I1337" s="5"/>
      <c r="J1337" s="5"/>
    </row>
    <row r="1338" spans="1:10" ht="14.1" customHeight="1" thickBot="1" x14ac:dyDescent="0.25">
      <c r="A1338" s="61" t="s">
        <v>18900</v>
      </c>
      <c r="B1338" s="61" t="s">
        <v>18901</v>
      </c>
      <c r="C1338" s="61" t="s">
        <v>17798</v>
      </c>
      <c r="D1338" s="61" t="s">
        <v>10170</v>
      </c>
      <c r="E1338" s="61" t="s">
        <v>8854</v>
      </c>
      <c r="F1338" s="61"/>
      <c r="G1338" s="5"/>
      <c r="H1338" s="5"/>
      <c r="I1338" s="5"/>
      <c r="J1338" s="5"/>
    </row>
    <row r="1339" spans="1:10" ht="14.1" customHeight="1" thickBot="1" x14ac:dyDescent="0.25">
      <c r="A1339" s="82" t="s">
        <v>14828</v>
      </c>
      <c r="B1339" s="62" t="s">
        <v>8528</v>
      </c>
      <c r="C1339" s="71">
        <v>44470</v>
      </c>
      <c r="D1339" s="82" t="s">
        <v>9385</v>
      </c>
      <c r="E1339" s="62" t="s">
        <v>13092</v>
      </c>
      <c r="F1339" s="61" t="s">
        <v>3080</v>
      </c>
      <c r="G1339" s="5"/>
      <c r="H1339" s="5"/>
      <c r="I1339" s="5"/>
      <c r="J1339" s="5"/>
    </row>
    <row r="1340" spans="1:10" ht="14.1" customHeight="1" thickBot="1" x14ac:dyDescent="0.25">
      <c r="A1340" s="83"/>
      <c r="B1340" s="62" t="s">
        <v>1786</v>
      </c>
      <c r="C1340" s="60">
        <f>IF(C1339="","",IF(AND(MONTH(C1339)&gt;=1,MONTH(C1339)&lt;=3),1,IF(AND(MONTH(C1339)&gt;=4,MONTH(C1339)&lt;=6),2,IF(AND(MONTH(C1339)&gt;=7,MONTH(C1339)&lt;=9),3,4))))</f>
        <v>4</v>
      </c>
      <c r="D1340" s="83"/>
      <c r="E1340" s="62" t="s">
        <v>2417</v>
      </c>
      <c r="F1340" s="61" t="s">
        <v>11111</v>
      </c>
      <c r="G1340" s="5"/>
      <c r="H1340" s="5"/>
      <c r="I1340" s="5"/>
      <c r="J1340" s="5"/>
    </row>
    <row r="1341" spans="1:10" ht="14.1" customHeight="1" thickBot="1" x14ac:dyDescent="0.25">
      <c r="A1341" s="83"/>
      <c r="B1341" s="62" t="s">
        <v>12941</v>
      </c>
      <c r="C1341" s="71">
        <v>44473</v>
      </c>
      <c r="D1341" s="83"/>
      <c r="E1341" s="62" t="s">
        <v>3073</v>
      </c>
      <c r="F1341" s="61" t="s">
        <v>11111</v>
      </c>
      <c r="G1341" s="5"/>
      <c r="H1341" s="5"/>
      <c r="I1341" s="5"/>
      <c r="J1341" s="5"/>
    </row>
    <row r="1342" spans="1:10" ht="14.1" customHeight="1" thickBot="1" x14ac:dyDescent="0.25">
      <c r="A1342" s="83"/>
      <c r="B1342" s="62" t="s">
        <v>1786</v>
      </c>
      <c r="C1342" s="60">
        <f>IF(C1341="","",IF(AND(MONTH(C1341)&gt;=1,MONTH(C1341)&lt;=3),1,IF(AND(MONTH(C1341)&gt;=4,MONTH(C1341)&lt;=6),2,IF(AND(MONTH(C1341)&gt;=7,MONTH(C1341)&lt;=9),3,4))))</f>
        <v>4</v>
      </c>
      <c r="D1342" s="83"/>
      <c r="E1342" s="62" t="s">
        <v>13191</v>
      </c>
      <c r="F1342" s="61" t="s">
        <v>11111</v>
      </c>
      <c r="G1342" s="5"/>
      <c r="H1342" s="5"/>
      <c r="I1342" s="5"/>
      <c r="J1342" s="5"/>
    </row>
    <row r="1343" spans="1:10" ht="14.1" customHeight="1" thickBot="1" x14ac:dyDescent="0.25">
      <c r="A1343" s="5"/>
      <c r="B1343" s="5"/>
      <c r="C1343" s="5"/>
      <c r="D1343" s="5"/>
      <c r="E1343" s="5"/>
      <c r="F1343" s="5"/>
      <c r="G1343" s="5"/>
      <c r="H1343" s="5"/>
      <c r="I1343" s="5"/>
      <c r="J1343" s="5"/>
    </row>
    <row r="1344" spans="1:10" ht="14.1" customHeight="1" thickBot="1" x14ac:dyDescent="0.25">
      <c r="A1344" s="67" t="s">
        <v>15735</v>
      </c>
      <c r="B1344" s="67" t="s">
        <v>16146</v>
      </c>
      <c r="C1344" s="67" t="s">
        <v>15641</v>
      </c>
      <c r="D1344" s="67" t="s">
        <v>15251</v>
      </c>
      <c r="E1344" s="67" t="s">
        <v>6932</v>
      </c>
      <c r="F1344" s="67" t="s">
        <v>15280</v>
      </c>
      <c r="G1344" s="5"/>
      <c r="H1344" s="5"/>
      <c r="I1344" s="5"/>
      <c r="J1344" s="5"/>
    </row>
    <row r="1345" spans="1:10" ht="13.5" customHeight="1" x14ac:dyDescent="0.2">
      <c r="A1345" s="63">
        <v>47131805</v>
      </c>
      <c r="B1345" s="64" t="str">
        <f ca="1">IFERROR(INDEX(UNSPSCDes,MATCH(INDIRECT(ADDRESS(ROW(),COLUMN()-1,4)),UNSPSCCode,0)),"")</f>
        <v>Limpiadores de propósito general</v>
      </c>
      <c r="C1345" s="63" t="s">
        <v>1449</v>
      </c>
      <c r="D1345" s="63">
        <v>1</v>
      </c>
      <c r="E1345" s="66">
        <v>125000</v>
      </c>
      <c r="F1345" s="65">
        <f ca="1">INDIRECT(ADDRESS(ROW(),COLUMN()-2,4))*INDIRECT(ADDRESS(ROW(),COLUMN()-1,4))</f>
        <v>125000</v>
      </c>
      <c r="G1345" s="5"/>
      <c r="H1345" s="5"/>
      <c r="I1345" s="5"/>
      <c r="J1345" s="5"/>
    </row>
    <row r="1346" spans="1:10" ht="14.1" customHeight="1" x14ac:dyDescent="0.2">
      <c r="A1346" s="5"/>
      <c r="B1346" s="5"/>
      <c r="C1346" s="5"/>
      <c r="D1346" s="5"/>
      <c r="E1346" s="68" t="s">
        <v>12549</v>
      </c>
      <c r="F1346" s="69">
        <f ca="1">SUM(Table3122[MONTO TOTAL ESTIMADO])</f>
        <v>125000</v>
      </c>
      <c r="G1346" s="5"/>
      <c r="H1346" s="5" t="str">
        <f>C1338</f>
        <v>Bienes</v>
      </c>
      <c r="I1346" s="5" t="str">
        <f>E1338</f>
        <v>Sí</v>
      </c>
      <c r="J1346" s="5" t="str">
        <f>D1338</f>
        <v>Compras por debajo del Umbral</v>
      </c>
    </row>
    <row r="1347" spans="1:10" ht="14.1" customHeight="1" thickBot="1" x14ac:dyDescent="0.3"/>
    <row r="1348" spans="1:10" ht="33.75" customHeight="1" thickBot="1" x14ac:dyDescent="0.25">
      <c r="A1348" s="59" t="s">
        <v>16382</v>
      </c>
      <c r="B1348" s="59" t="s">
        <v>161</v>
      </c>
      <c r="C1348" s="59" t="s">
        <v>11723</v>
      </c>
      <c r="D1348" s="59" t="s">
        <v>14377</v>
      </c>
      <c r="E1348" s="59" t="s">
        <v>10961</v>
      </c>
      <c r="F1348" s="59" t="s">
        <v>11094</v>
      </c>
      <c r="G1348" s="5"/>
      <c r="H1348" s="5"/>
      <c r="I1348" s="5"/>
      <c r="J1348" s="5"/>
    </row>
    <row r="1349" spans="1:10" ht="14.1" customHeight="1" thickBot="1" x14ac:dyDescent="0.25">
      <c r="A1349" s="61" t="s">
        <v>18902</v>
      </c>
      <c r="B1349" s="61" t="s">
        <v>18902</v>
      </c>
      <c r="C1349" s="61" t="s">
        <v>17798</v>
      </c>
      <c r="D1349" s="61" t="s">
        <v>17483</v>
      </c>
      <c r="E1349" s="61" t="s">
        <v>8854</v>
      </c>
      <c r="F1349" s="61"/>
      <c r="G1349" s="5"/>
      <c r="H1349" s="5"/>
      <c r="I1349" s="5"/>
      <c r="J1349" s="5"/>
    </row>
    <row r="1350" spans="1:10" ht="14.1" customHeight="1" thickBot="1" x14ac:dyDescent="0.25">
      <c r="A1350" s="82" t="s">
        <v>14828</v>
      </c>
      <c r="B1350" s="62" t="s">
        <v>8528</v>
      </c>
      <c r="C1350" s="71">
        <v>44197</v>
      </c>
      <c r="D1350" s="82" t="s">
        <v>9385</v>
      </c>
      <c r="E1350" s="62" t="s">
        <v>13092</v>
      </c>
      <c r="F1350" s="61" t="s">
        <v>3080</v>
      </c>
      <c r="G1350" s="5"/>
      <c r="H1350" s="5"/>
      <c r="I1350" s="5"/>
      <c r="J1350" s="5"/>
    </row>
    <row r="1351" spans="1:10" ht="14.1" customHeight="1" thickBot="1" x14ac:dyDescent="0.25">
      <c r="A1351" s="83"/>
      <c r="B1351" s="62" t="s">
        <v>1786</v>
      </c>
      <c r="C1351" s="60">
        <f>IF(C1350="","",IF(AND(MONTH(C1350)&gt;=1,MONTH(C1350)&lt;=3),1,IF(AND(MONTH(C1350)&gt;=4,MONTH(C1350)&lt;=6),2,IF(AND(MONTH(C1350)&gt;=7,MONTH(C1350)&lt;=9),3,4))))</f>
        <v>1</v>
      </c>
      <c r="D1351" s="83"/>
      <c r="E1351" s="62" t="s">
        <v>2417</v>
      </c>
      <c r="F1351" s="61" t="s">
        <v>11111</v>
      </c>
      <c r="G1351" s="5"/>
      <c r="H1351" s="5"/>
      <c r="I1351" s="5"/>
      <c r="J1351" s="5"/>
    </row>
    <row r="1352" spans="1:10" ht="14.1" customHeight="1" thickBot="1" x14ac:dyDescent="0.25">
      <c r="A1352" s="83"/>
      <c r="B1352" s="62" t="s">
        <v>12941</v>
      </c>
      <c r="C1352" s="71">
        <v>44211</v>
      </c>
      <c r="D1352" s="83"/>
      <c r="E1352" s="62" t="s">
        <v>3073</v>
      </c>
      <c r="F1352" s="61" t="s">
        <v>11111</v>
      </c>
      <c r="G1352" s="5"/>
      <c r="H1352" s="5"/>
      <c r="I1352" s="5"/>
      <c r="J1352" s="5"/>
    </row>
    <row r="1353" spans="1:10" ht="14.1" customHeight="1" thickBot="1" x14ac:dyDescent="0.25">
      <c r="A1353" s="83"/>
      <c r="B1353" s="62" t="s">
        <v>1786</v>
      </c>
      <c r="C1353" s="60">
        <f>IF(C1352="","",IF(AND(MONTH(C1352)&gt;=1,MONTH(C1352)&lt;=3),1,IF(AND(MONTH(C1352)&gt;=4,MONTH(C1352)&lt;=6),2,IF(AND(MONTH(C1352)&gt;=7,MONTH(C1352)&lt;=9),3,4))))</f>
        <v>1</v>
      </c>
      <c r="D1353" s="83"/>
      <c r="E1353" s="62" t="s">
        <v>13191</v>
      </c>
      <c r="F1353" s="61" t="s">
        <v>11111</v>
      </c>
      <c r="G1353" s="5"/>
      <c r="H1353" s="5"/>
      <c r="I1353" s="5"/>
      <c r="J1353" s="5"/>
    </row>
    <row r="1354" spans="1:10" ht="14.1" customHeight="1" thickBot="1" x14ac:dyDescent="0.25">
      <c r="A1354" s="5"/>
      <c r="B1354" s="5"/>
      <c r="C1354" s="5"/>
      <c r="D1354" s="5"/>
      <c r="E1354" s="5"/>
      <c r="F1354" s="5"/>
      <c r="G1354" s="5"/>
      <c r="H1354" s="5"/>
      <c r="I1354" s="5"/>
      <c r="J1354" s="5"/>
    </row>
    <row r="1355" spans="1:10" ht="14.1" customHeight="1" thickBot="1" x14ac:dyDescent="0.25">
      <c r="A1355" s="67" t="s">
        <v>15735</v>
      </c>
      <c r="B1355" s="67" t="s">
        <v>16146</v>
      </c>
      <c r="C1355" s="67" t="s">
        <v>15641</v>
      </c>
      <c r="D1355" s="67" t="s">
        <v>15251</v>
      </c>
      <c r="E1355" s="67" t="s">
        <v>6932</v>
      </c>
      <c r="F1355" s="67" t="s">
        <v>15280</v>
      </c>
      <c r="G1355" s="5"/>
      <c r="H1355" s="5"/>
      <c r="I1355" s="5"/>
      <c r="J1355" s="5"/>
    </row>
    <row r="1356" spans="1:10" ht="14.1" customHeight="1" x14ac:dyDescent="0.2">
      <c r="A1356" s="77">
        <v>53121701</v>
      </c>
      <c r="B1356" s="64" t="str">
        <f ca="1">IFERROR(INDEX(UNSPSCDes,MATCH(INDIRECT(ADDRESS(ROW(),COLUMN()-1,4)),UNSPSCCode,0)),"")</f>
        <v>Maletines</v>
      </c>
      <c r="C1356" s="63" t="s">
        <v>1449</v>
      </c>
      <c r="D1356" s="63">
        <v>1</v>
      </c>
      <c r="E1356" s="66">
        <v>4200</v>
      </c>
      <c r="F1356" s="65">
        <f ca="1">INDIRECT(ADDRESS(ROW(),COLUMN()-2,4))*INDIRECT(ADDRESS(ROW(),COLUMN()-1,4))</f>
        <v>4200</v>
      </c>
      <c r="G1356" s="5"/>
      <c r="H1356" s="5"/>
      <c r="I1356" s="5"/>
      <c r="J1356" s="5"/>
    </row>
    <row r="1357" spans="1:10" ht="13.5" customHeight="1" x14ac:dyDescent="0.2">
      <c r="A1357" s="63">
        <v>60121151</v>
      </c>
      <c r="B1357" s="64" t="str">
        <f ca="1">IFERROR(INDEX(UNSPSCDes,MATCH(INDIRECT(ADDRESS(ROW(),COLUMN()-1,4)),UNSPSCCode,0)),"")</f>
        <v>Accesorios o tableros para dibujo o bosquejo</v>
      </c>
      <c r="C1357" s="63" t="s">
        <v>1449</v>
      </c>
      <c r="D1357" s="63">
        <v>1</v>
      </c>
      <c r="E1357" s="66">
        <v>887500</v>
      </c>
      <c r="F1357" s="65">
        <f ca="1">INDIRECT(ADDRESS(ROW(),COLUMN()-2,4))*INDIRECT(ADDRESS(ROW(),COLUMN()-1,4))</f>
        <v>887500</v>
      </c>
      <c r="G1357" s="5"/>
      <c r="H1357" s="5"/>
      <c r="I1357" s="5"/>
      <c r="J1357" s="5"/>
    </row>
    <row r="1358" spans="1:10" ht="14.1" customHeight="1" x14ac:dyDescent="0.2">
      <c r="A1358" s="5"/>
      <c r="B1358" s="5"/>
      <c r="C1358" s="5"/>
      <c r="D1358" s="5"/>
      <c r="E1358" s="68" t="s">
        <v>12549</v>
      </c>
      <c r="F1358" s="69">
        <f ca="1">SUM(Table3123[MONTO TOTAL ESTIMADO])</f>
        <v>891700</v>
      </c>
      <c r="G1358" s="5"/>
      <c r="H1358" s="5" t="str">
        <f>C1349</f>
        <v>Bienes</v>
      </c>
      <c r="I1358" s="5" t="str">
        <f>E1349</f>
        <v>Sí</v>
      </c>
      <c r="J1358" s="5" t="str">
        <f>D1349</f>
        <v>Compras Menores</v>
      </c>
    </row>
    <row r="1359" spans="1:10" ht="14.1" customHeight="1" thickBot="1" x14ac:dyDescent="0.3"/>
    <row r="1360" spans="1:10" ht="33.75" customHeight="1" thickBot="1" x14ac:dyDescent="0.25">
      <c r="A1360" s="59" t="s">
        <v>16382</v>
      </c>
      <c r="B1360" s="59" t="s">
        <v>161</v>
      </c>
      <c r="C1360" s="59" t="s">
        <v>11723</v>
      </c>
      <c r="D1360" s="59" t="s">
        <v>14377</v>
      </c>
      <c r="E1360" s="59" t="s">
        <v>10961</v>
      </c>
      <c r="F1360" s="59" t="s">
        <v>11094</v>
      </c>
      <c r="G1360" s="5"/>
      <c r="H1360" s="5"/>
      <c r="I1360" s="5"/>
      <c r="J1360" s="5"/>
    </row>
    <row r="1361" spans="1:10" ht="14.1" customHeight="1" thickBot="1" x14ac:dyDescent="0.25">
      <c r="A1361" s="61" t="s">
        <v>18902</v>
      </c>
      <c r="B1361" s="61" t="s">
        <v>18902</v>
      </c>
      <c r="C1361" s="61" t="s">
        <v>17798</v>
      </c>
      <c r="D1361" s="61" t="s">
        <v>17483</v>
      </c>
      <c r="E1361" s="61" t="s">
        <v>8854</v>
      </c>
      <c r="F1361" s="61"/>
      <c r="G1361" s="5"/>
      <c r="H1361" s="5"/>
      <c r="I1361" s="5"/>
      <c r="J1361" s="5"/>
    </row>
    <row r="1362" spans="1:10" ht="14.1" customHeight="1" thickBot="1" x14ac:dyDescent="0.25">
      <c r="A1362" s="82" t="s">
        <v>14828</v>
      </c>
      <c r="B1362" s="62" t="s">
        <v>8528</v>
      </c>
      <c r="C1362" s="71">
        <v>44287</v>
      </c>
      <c r="D1362" s="82" t="s">
        <v>9385</v>
      </c>
      <c r="E1362" s="62" t="s">
        <v>13092</v>
      </c>
      <c r="F1362" s="61" t="s">
        <v>3080</v>
      </c>
      <c r="G1362" s="5"/>
      <c r="H1362" s="5"/>
      <c r="I1362" s="5"/>
      <c r="J1362" s="5"/>
    </row>
    <row r="1363" spans="1:10" ht="14.1" customHeight="1" thickBot="1" x14ac:dyDescent="0.25">
      <c r="A1363" s="83"/>
      <c r="B1363" s="62" t="s">
        <v>1786</v>
      </c>
      <c r="C1363" s="60">
        <f>IF(C1362="","",IF(AND(MONTH(C1362)&gt;=1,MONTH(C1362)&lt;=3),1,IF(AND(MONTH(C1362)&gt;=4,MONTH(C1362)&lt;=6),2,IF(AND(MONTH(C1362)&gt;=7,MONTH(C1362)&lt;=9),3,4))))</f>
        <v>2</v>
      </c>
      <c r="D1363" s="83"/>
      <c r="E1363" s="62" t="s">
        <v>2417</v>
      </c>
      <c r="F1363" s="61" t="s">
        <v>11111</v>
      </c>
      <c r="G1363" s="5"/>
      <c r="H1363" s="5"/>
      <c r="I1363" s="5"/>
      <c r="J1363" s="5"/>
    </row>
    <row r="1364" spans="1:10" ht="14.1" customHeight="1" thickBot="1" x14ac:dyDescent="0.25">
      <c r="A1364" s="83"/>
      <c r="B1364" s="62" t="s">
        <v>12941</v>
      </c>
      <c r="C1364" s="71">
        <v>44301</v>
      </c>
      <c r="D1364" s="83"/>
      <c r="E1364" s="62" t="s">
        <v>3073</v>
      </c>
      <c r="F1364" s="61" t="s">
        <v>11111</v>
      </c>
      <c r="G1364" s="5"/>
      <c r="H1364" s="5"/>
      <c r="I1364" s="5"/>
      <c r="J1364" s="5"/>
    </row>
    <row r="1365" spans="1:10" ht="14.1" customHeight="1" thickBot="1" x14ac:dyDescent="0.25">
      <c r="A1365" s="83"/>
      <c r="B1365" s="62" t="s">
        <v>1786</v>
      </c>
      <c r="C1365" s="60">
        <f>IF(C1364="","",IF(AND(MONTH(C1364)&gt;=1,MONTH(C1364)&lt;=3),1,IF(AND(MONTH(C1364)&gt;=4,MONTH(C1364)&lt;=6),2,IF(AND(MONTH(C1364)&gt;=7,MONTH(C1364)&lt;=9),3,4))))</f>
        <v>2</v>
      </c>
      <c r="D1365" s="83"/>
      <c r="E1365" s="62" t="s">
        <v>13191</v>
      </c>
      <c r="F1365" s="61" t="s">
        <v>11111</v>
      </c>
      <c r="G1365" s="5"/>
      <c r="H1365" s="5"/>
      <c r="I1365" s="5"/>
      <c r="J1365" s="5"/>
    </row>
    <row r="1366" spans="1:10" ht="14.1" customHeight="1" thickBot="1" x14ac:dyDescent="0.25">
      <c r="A1366" s="5"/>
      <c r="B1366" s="5"/>
      <c r="C1366" s="5"/>
      <c r="D1366" s="5"/>
      <c r="E1366" s="5"/>
      <c r="F1366" s="5"/>
      <c r="G1366" s="5"/>
      <c r="H1366" s="5"/>
      <c r="I1366" s="5"/>
      <c r="J1366" s="5"/>
    </row>
    <row r="1367" spans="1:10" ht="14.1" customHeight="1" thickBot="1" x14ac:dyDescent="0.25">
      <c r="A1367" s="67" t="s">
        <v>15735</v>
      </c>
      <c r="B1367" s="67" t="s">
        <v>16146</v>
      </c>
      <c r="C1367" s="67" t="s">
        <v>15641</v>
      </c>
      <c r="D1367" s="67" t="s">
        <v>15251</v>
      </c>
      <c r="E1367" s="67" t="s">
        <v>6932</v>
      </c>
      <c r="F1367" s="67" t="s">
        <v>15280</v>
      </c>
      <c r="G1367" s="5"/>
      <c r="H1367" s="5"/>
      <c r="I1367" s="5"/>
      <c r="J1367" s="5"/>
    </row>
    <row r="1368" spans="1:10" ht="13.5" customHeight="1" x14ac:dyDescent="0.2">
      <c r="A1368" s="63">
        <v>60121151</v>
      </c>
      <c r="B1368" s="64" t="str">
        <f ca="1">IFERROR(INDEX(UNSPSCDes,MATCH(INDIRECT(ADDRESS(ROW(),COLUMN()-1,4)),UNSPSCCode,0)),"")</f>
        <v>Accesorios o tableros para dibujo o bosquejo</v>
      </c>
      <c r="C1368" s="63" t="s">
        <v>1449</v>
      </c>
      <c r="D1368" s="63">
        <v>1</v>
      </c>
      <c r="E1368" s="66">
        <v>887500</v>
      </c>
      <c r="F1368" s="65">
        <f ca="1">INDIRECT(ADDRESS(ROW(),COLUMN()-2,4))*INDIRECT(ADDRESS(ROW(),COLUMN()-1,4))</f>
        <v>887500</v>
      </c>
      <c r="G1368" s="5"/>
      <c r="H1368" s="5"/>
      <c r="I1368" s="5"/>
      <c r="J1368" s="5"/>
    </row>
    <row r="1369" spans="1:10" ht="14.1" customHeight="1" x14ac:dyDescent="0.2">
      <c r="A1369" s="5"/>
      <c r="B1369" s="5"/>
      <c r="C1369" s="5"/>
      <c r="D1369" s="5"/>
      <c r="E1369" s="68" t="s">
        <v>12549</v>
      </c>
      <c r="F1369" s="69">
        <f ca="1">SUM(Table3124[MONTO TOTAL ESTIMADO])</f>
        <v>887500</v>
      </c>
      <c r="G1369" s="5"/>
      <c r="H1369" s="5" t="str">
        <f>C1361</f>
        <v>Bienes</v>
      </c>
      <c r="I1369" s="5" t="str">
        <f>E1361</f>
        <v>Sí</v>
      </c>
      <c r="J1369" s="5" t="str">
        <f>D1361</f>
        <v>Compras Menores</v>
      </c>
    </row>
    <row r="1370" spans="1:10" ht="14.1" customHeight="1" thickBot="1" x14ac:dyDescent="0.3"/>
    <row r="1371" spans="1:10" ht="33.75" customHeight="1" thickBot="1" x14ac:dyDescent="0.25">
      <c r="A1371" s="59" t="s">
        <v>16382</v>
      </c>
      <c r="B1371" s="59" t="s">
        <v>161</v>
      </c>
      <c r="C1371" s="59" t="s">
        <v>11723</v>
      </c>
      <c r="D1371" s="59" t="s">
        <v>14377</v>
      </c>
      <c r="E1371" s="59" t="s">
        <v>10961</v>
      </c>
      <c r="F1371" s="59" t="s">
        <v>11094</v>
      </c>
      <c r="G1371" s="5"/>
      <c r="H1371" s="5"/>
      <c r="I1371" s="5"/>
      <c r="J1371" s="5"/>
    </row>
    <row r="1372" spans="1:10" ht="14.1" customHeight="1" thickBot="1" x14ac:dyDescent="0.25">
      <c r="A1372" s="61" t="s">
        <v>18902</v>
      </c>
      <c r="B1372" s="61" t="s">
        <v>18902</v>
      </c>
      <c r="C1372" s="61" t="s">
        <v>17798</v>
      </c>
      <c r="D1372" s="61" t="s">
        <v>17483</v>
      </c>
      <c r="E1372" s="61" t="s">
        <v>8854</v>
      </c>
      <c r="F1372" s="61"/>
      <c r="G1372" s="5"/>
      <c r="H1372" s="5"/>
      <c r="I1372" s="5"/>
      <c r="J1372" s="5"/>
    </row>
    <row r="1373" spans="1:10" ht="14.1" customHeight="1" thickBot="1" x14ac:dyDescent="0.25">
      <c r="A1373" s="82" t="s">
        <v>14828</v>
      </c>
      <c r="B1373" s="62" t="s">
        <v>8528</v>
      </c>
      <c r="C1373" s="71">
        <v>44378</v>
      </c>
      <c r="D1373" s="82" t="s">
        <v>9385</v>
      </c>
      <c r="E1373" s="62" t="s">
        <v>13092</v>
      </c>
      <c r="F1373" s="61" t="s">
        <v>3080</v>
      </c>
      <c r="G1373" s="5"/>
      <c r="H1373" s="5"/>
      <c r="I1373" s="5"/>
      <c r="J1373" s="5"/>
    </row>
    <row r="1374" spans="1:10" ht="14.1" customHeight="1" thickBot="1" x14ac:dyDescent="0.25">
      <c r="A1374" s="83"/>
      <c r="B1374" s="62" t="s">
        <v>1786</v>
      </c>
      <c r="C1374" s="60">
        <f>IF(C1373="","",IF(AND(MONTH(C1373)&gt;=1,MONTH(C1373)&lt;=3),1,IF(AND(MONTH(C1373)&gt;=4,MONTH(C1373)&lt;=6),2,IF(AND(MONTH(C1373)&gt;=7,MONTH(C1373)&lt;=9),3,4))))</f>
        <v>3</v>
      </c>
      <c r="D1374" s="83"/>
      <c r="E1374" s="62" t="s">
        <v>2417</v>
      </c>
      <c r="F1374" s="61" t="s">
        <v>11111</v>
      </c>
      <c r="G1374" s="5"/>
      <c r="H1374" s="5"/>
      <c r="I1374" s="5"/>
      <c r="J1374" s="5"/>
    </row>
    <row r="1375" spans="1:10" ht="14.1" customHeight="1" thickBot="1" x14ac:dyDescent="0.25">
      <c r="A1375" s="83"/>
      <c r="B1375" s="62" t="s">
        <v>12941</v>
      </c>
      <c r="C1375" s="71">
        <v>44392</v>
      </c>
      <c r="D1375" s="83"/>
      <c r="E1375" s="62" t="s">
        <v>3073</v>
      </c>
      <c r="F1375" s="61" t="s">
        <v>11111</v>
      </c>
      <c r="G1375" s="5"/>
      <c r="H1375" s="5"/>
      <c r="I1375" s="5"/>
      <c r="J1375" s="5"/>
    </row>
    <row r="1376" spans="1:10" ht="14.1" customHeight="1" thickBot="1" x14ac:dyDescent="0.25">
      <c r="A1376" s="83"/>
      <c r="B1376" s="62" t="s">
        <v>1786</v>
      </c>
      <c r="C1376" s="60">
        <f>IF(C1375="","",IF(AND(MONTH(C1375)&gt;=1,MONTH(C1375)&lt;=3),1,IF(AND(MONTH(C1375)&gt;=4,MONTH(C1375)&lt;=6),2,IF(AND(MONTH(C1375)&gt;=7,MONTH(C1375)&lt;=9),3,4))))</f>
        <v>3</v>
      </c>
      <c r="D1376" s="83"/>
      <c r="E1376" s="62" t="s">
        <v>13191</v>
      </c>
      <c r="F1376" s="61" t="s">
        <v>11111</v>
      </c>
      <c r="G1376" s="5"/>
      <c r="H1376" s="5"/>
      <c r="I1376" s="5"/>
      <c r="J1376" s="5"/>
    </row>
    <row r="1377" spans="1:10" ht="14.1" customHeight="1" thickBot="1" x14ac:dyDescent="0.25">
      <c r="A1377" s="5"/>
      <c r="B1377" s="5"/>
      <c r="C1377" s="5"/>
      <c r="D1377" s="5"/>
      <c r="E1377" s="5"/>
      <c r="F1377" s="5"/>
      <c r="G1377" s="5"/>
      <c r="H1377" s="5"/>
      <c r="I1377" s="5"/>
      <c r="J1377" s="5"/>
    </row>
    <row r="1378" spans="1:10" ht="14.1" customHeight="1" thickBot="1" x14ac:dyDescent="0.25">
      <c r="A1378" s="67" t="s">
        <v>15735</v>
      </c>
      <c r="B1378" s="67" t="s">
        <v>16146</v>
      </c>
      <c r="C1378" s="67" t="s">
        <v>15641</v>
      </c>
      <c r="D1378" s="67" t="s">
        <v>15251</v>
      </c>
      <c r="E1378" s="67" t="s">
        <v>6932</v>
      </c>
      <c r="F1378" s="67" t="s">
        <v>15280</v>
      </c>
      <c r="G1378" s="5"/>
      <c r="H1378" s="5"/>
      <c r="I1378" s="5"/>
      <c r="J1378" s="5"/>
    </row>
    <row r="1379" spans="1:10" ht="13.5" customHeight="1" x14ac:dyDescent="0.2">
      <c r="A1379" s="63">
        <v>60121151</v>
      </c>
      <c r="B1379" s="64" t="str">
        <f ca="1">IFERROR(INDEX(UNSPSCDes,MATCH(INDIRECT(ADDRESS(ROW(),COLUMN()-1,4)),UNSPSCCode,0)),"")</f>
        <v>Accesorios o tableros para dibujo o bosquejo</v>
      </c>
      <c r="C1379" s="63" t="s">
        <v>1449</v>
      </c>
      <c r="D1379" s="63">
        <v>1</v>
      </c>
      <c r="E1379" s="66">
        <v>887500</v>
      </c>
      <c r="F1379" s="65">
        <f ca="1">INDIRECT(ADDRESS(ROW(),COLUMN()-2,4))*INDIRECT(ADDRESS(ROW(),COLUMN()-1,4))</f>
        <v>887500</v>
      </c>
      <c r="G1379" s="5"/>
      <c r="H1379" s="5"/>
      <c r="I1379" s="5"/>
      <c r="J1379" s="5"/>
    </row>
    <row r="1380" spans="1:10" ht="14.1" customHeight="1" x14ac:dyDescent="0.2">
      <c r="A1380" s="5"/>
      <c r="B1380" s="5"/>
      <c r="C1380" s="5"/>
      <c r="D1380" s="5"/>
      <c r="E1380" s="68" t="s">
        <v>12549</v>
      </c>
      <c r="F1380" s="69">
        <f ca="1">SUM(Table3125[MONTO TOTAL ESTIMADO])</f>
        <v>887500</v>
      </c>
      <c r="G1380" s="5"/>
      <c r="H1380" s="5" t="str">
        <f>C1372</f>
        <v>Bienes</v>
      </c>
      <c r="I1380" s="5" t="str">
        <f>E1372</f>
        <v>Sí</v>
      </c>
      <c r="J1380" s="5" t="str">
        <f>D1372</f>
        <v>Compras Menores</v>
      </c>
    </row>
    <row r="1381" spans="1:10" ht="14.1" customHeight="1" thickBot="1" x14ac:dyDescent="0.3"/>
    <row r="1382" spans="1:10" ht="33.75" customHeight="1" thickBot="1" x14ac:dyDescent="0.25">
      <c r="A1382" s="59" t="s">
        <v>16382</v>
      </c>
      <c r="B1382" s="59" t="s">
        <v>161</v>
      </c>
      <c r="C1382" s="59" t="s">
        <v>11723</v>
      </c>
      <c r="D1382" s="59" t="s">
        <v>14377</v>
      </c>
      <c r="E1382" s="59" t="s">
        <v>10961</v>
      </c>
      <c r="F1382" s="59" t="s">
        <v>11094</v>
      </c>
      <c r="G1382" s="5"/>
      <c r="H1382" s="5"/>
      <c r="I1382" s="5"/>
      <c r="J1382" s="5"/>
    </row>
    <row r="1383" spans="1:10" ht="14.1" customHeight="1" thickBot="1" x14ac:dyDescent="0.25">
      <c r="A1383" s="61" t="s">
        <v>18902</v>
      </c>
      <c r="B1383" s="61" t="s">
        <v>18902</v>
      </c>
      <c r="C1383" s="61" t="s">
        <v>17798</v>
      </c>
      <c r="D1383" s="61" t="s">
        <v>17483</v>
      </c>
      <c r="E1383" s="61" t="s">
        <v>8854</v>
      </c>
      <c r="F1383" s="61"/>
      <c r="G1383" s="5"/>
      <c r="H1383" s="5"/>
      <c r="I1383" s="5"/>
      <c r="J1383" s="5"/>
    </row>
    <row r="1384" spans="1:10" ht="14.1" customHeight="1" thickBot="1" x14ac:dyDescent="0.25">
      <c r="A1384" s="82" t="s">
        <v>14828</v>
      </c>
      <c r="B1384" s="62" t="s">
        <v>8528</v>
      </c>
      <c r="C1384" s="71">
        <v>44470</v>
      </c>
      <c r="D1384" s="82" t="s">
        <v>9385</v>
      </c>
      <c r="E1384" s="62" t="s">
        <v>13092</v>
      </c>
      <c r="F1384" s="61" t="s">
        <v>3080</v>
      </c>
      <c r="G1384" s="5"/>
      <c r="H1384" s="5"/>
      <c r="I1384" s="5"/>
      <c r="J1384" s="5"/>
    </row>
    <row r="1385" spans="1:10" ht="14.1" customHeight="1" thickBot="1" x14ac:dyDescent="0.25">
      <c r="A1385" s="83"/>
      <c r="B1385" s="62" t="s">
        <v>1786</v>
      </c>
      <c r="C1385" s="60">
        <f>IF(C1384="","",IF(AND(MONTH(C1384)&gt;=1,MONTH(C1384)&lt;=3),1,IF(AND(MONTH(C1384)&gt;=4,MONTH(C1384)&lt;=6),2,IF(AND(MONTH(C1384)&gt;=7,MONTH(C1384)&lt;=9),3,4))))</f>
        <v>4</v>
      </c>
      <c r="D1385" s="83"/>
      <c r="E1385" s="62" t="s">
        <v>2417</v>
      </c>
      <c r="F1385" s="61" t="s">
        <v>11111</v>
      </c>
      <c r="G1385" s="5"/>
      <c r="H1385" s="5"/>
      <c r="I1385" s="5"/>
      <c r="J1385" s="5"/>
    </row>
    <row r="1386" spans="1:10" ht="14.1" customHeight="1" thickBot="1" x14ac:dyDescent="0.25">
      <c r="A1386" s="83"/>
      <c r="B1386" s="62" t="s">
        <v>12941</v>
      </c>
      <c r="C1386" s="71">
        <v>44484</v>
      </c>
      <c r="D1386" s="83"/>
      <c r="E1386" s="62" t="s">
        <v>3073</v>
      </c>
      <c r="F1386" s="61" t="s">
        <v>11111</v>
      </c>
      <c r="G1386" s="5"/>
      <c r="H1386" s="5"/>
      <c r="I1386" s="5"/>
      <c r="J1386" s="5"/>
    </row>
    <row r="1387" spans="1:10" ht="14.1" customHeight="1" thickBot="1" x14ac:dyDescent="0.25">
      <c r="A1387" s="83"/>
      <c r="B1387" s="62" t="s">
        <v>1786</v>
      </c>
      <c r="C1387" s="60">
        <f>IF(C1386="","",IF(AND(MONTH(C1386)&gt;=1,MONTH(C1386)&lt;=3),1,IF(AND(MONTH(C1386)&gt;=4,MONTH(C1386)&lt;=6),2,IF(AND(MONTH(C1386)&gt;=7,MONTH(C1386)&lt;=9),3,4))))</f>
        <v>4</v>
      </c>
      <c r="D1387" s="83"/>
      <c r="E1387" s="62" t="s">
        <v>13191</v>
      </c>
      <c r="F1387" s="61" t="s">
        <v>11111</v>
      </c>
      <c r="G1387" s="5"/>
      <c r="H1387" s="5"/>
      <c r="I1387" s="5"/>
      <c r="J1387" s="5"/>
    </row>
    <row r="1388" spans="1:10" ht="14.1" customHeight="1" thickBot="1" x14ac:dyDescent="0.25">
      <c r="A1388" s="5"/>
      <c r="B1388" s="5"/>
      <c r="C1388" s="5"/>
      <c r="D1388" s="5"/>
      <c r="E1388" s="5"/>
      <c r="F1388" s="5"/>
      <c r="G1388" s="5"/>
      <c r="H1388" s="5"/>
      <c r="I1388" s="5"/>
      <c r="J1388" s="5"/>
    </row>
    <row r="1389" spans="1:10" ht="14.1" customHeight="1" thickBot="1" x14ac:dyDescent="0.25">
      <c r="A1389" s="67" t="s">
        <v>15735</v>
      </c>
      <c r="B1389" s="67" t="s">
        <v>16146</v>
      </c>
      <c r="C1389" s="67" t="s">
        <v>15641</v>
      </c>
      <c r="D1389" s="67" t="s">
        <v>15251</v>
      </c>
      <c r="E1389" s="67" t="s">
        <v>6932</v>
      </c>
      <c r="F1389" s="67" t="s">
        <v>15280</v>
      </c>
      <c r="G1389" s="5"/>
      <c r="H1389" s="5"/>
      <c r="I1389" s="5"/>
      <c r="J1389" s="5"/>
    </row>
    <row r="1390" spans="1:10" ht="13.5" customHeight="1" x14ac:dyDescent="0.2">
      <c r="A1390" s="63">
        <v>60121151</v>
      </c>
      <c r="B1390" s="64" t="str">
        <f ca="1">IFERROR(INDEX(UNSPSCDes,MATCH(INDIRECT(ADDRESS(ROW(),COLUMN()-1,4)),UNSPSCCode,0)),"")</f>
        <v>Accesorios o tableros para dibujo o bosquejo</v>
      </c>
      <c r="C1390" s="63" t="s">
        <v>1449</v>
      </c>
      <c r="D1390" s="63">
        <v>1</v>
      </c>
      <c r="E1390" s="66">
        <v>887500</v>
      </c>
      <c r="F1390" s="65">
        <f ca="1">INDIRECT(ADDRESS(ROW(),COLUMN()-2,4))*INDIRECT(ADDRESS(ROW(),COLUMN()-1,4))</f>
        <v>887500</v>
      </c>
      <c r="G1390" s="5"/>
      <c r="H1390" s="5"/>
      <c r="I1390" s="5"/>
      <c r="J1390" s="5"/>
    </row>
    <row r="1391" spans="1:10" ht="14.1" customHeight="1" x14ac:dyDescent="0.2">
      <c r="A1391" s="5"/>
      <c r="B1391" s="5"/>
      <c r="C1391" s="5"/>
      <c r="D1391" s="5"/>
      <c r="E1391" s="68" t="s">
        <v>12549</v>
      </c>
      <c r="F1391" s="69">
        <f ca="1">SUM(Table3126[MONTO TOTAL ESTIMADO])</f>
        <v>887500</v>
      </c>
      <c r="G1391" s="5"/>
      <c r="H1391" s="5" t="str">
        <f>C1383</f>
        <v>Bienes</v>
      </c>
      <c r="I1391" s="5" t="str">
        <f>E1383</f>
        <v>Sí</v>
      </c>
      <c r="J1391" s="5" t="str">
        <f>D1383</f>
        <v>Compras Menores</v>
      </c>
    </row>
    <row r="1392" spans="1:10" ht="14.1" customHeight="1" thickBot="1" x14ac:dyDescent="0.3"/>
    <row r="1393" spans="1:10" ht="33.75" customHeight="1" thickBot="1" x14ac:dyDescent="0.25">
      <c r="A1393" s="59" t="s">
        <v>16382</v>
      </c>
      <c r="B1393" s="59" t="s">
        <v>161</v>
      </c>
      <c r="C1393" s="59" t="s">
        <v>11723</v>
      </c>
      <c r="D1393" s="59" t="s">
        <v>14377</v>
      </c>
      <c r="E1393" s="59" t="s">
        <v>10961</v>
      </c>
      <c r="F1393" s="59" t="s">
        <v>11094</v>
      </c>
      <c r="G1393" s="5"/>
      <c r="H1393" s="5"/>
      <c r="I1393" s="5"/>
      <c r="J1393" s="5"/>
    </row>
    <row r="1394" spans="1:10" ht="14.1" customHeight="1" thickBot="1" x14ac:dyDescent="0.25">
      <c r="A1394" s="61" t="s">
        <v>18903</v>
      </c>
      <c r="B1394" s="61" t="s">
        <v>18904</v>
      </c>
      <c r="C1394" s="61" t="s">
        <v>17798</v>
      </c>
      <c r="D1394" s="61" t="s">
        <v>10170</v>
      </c>
      <c r="E1394" s="61" t="s">
        <v>8854</v>
      </c>
      <c r="F1394" s="61"/>
      <c r="G1394" s="5"/>
      <c r="H1394" s="5"/>
      <c r="I1394" s="5"/>
      <c r="J1394" s="5"/>
    </row>
    <row r="1395" spans="1:10" ht="14.1" customHeight="1" thickBot="1" x14ac:dyDescent="0.25">
      <c r="A1395" s="82" t="s">
        <v>14828</v>
      </c>
      <c r="B1395" s="62" t="s">
        <v>8528</v>
      </c>
      <c r="C1395" s="71">
        <v>44197</v>
      </c>
      <c r="D1395" s="82" t="s">
        <v>9385</v>
      </c>
      <c r="E1395" s="62" t="s">
        <v>13092</v>
      </c>
      <c r="F1395" s="61" t="s">
        <v>3080</v>
      </c>
      <c r="G1395" s="5"/>
      <c r="H1395" s="5"/>
      <c r="I1395" s="5"/>
      <c r="J1395" s="5"/>
    </row>
    <row r="1396" spans="1:10" ht="14.1" customHeight="1" thickBot="1" x14ac:dyDescent="0.25">
      <c r="A1396" s="83"/>
      <c r="B1396" s="62" t="s">
        <v>1786</v>
      </c>
      <c r="C1396" s="60">
        <f>IF(C1395="","",IF(AND(MONTH(C1395)&gt;=1,MONTH(C1395)&lt;=3),1,IF(AND(MONTH(C1395)&gt;=4,MONTH(C1395)&lt;=6),2,IF(AND(MONTH(C1395)&gt;=7,MONTH(C1395)&lt;=9),3,4))))</f>
        <v>1</v>
      </c>
      <c r="D1396" s="83"/>
      <c r="E1396" s="62" t="s">
        <v>2417</v>
      </c>
      <c r="F1396" s="61" t="s">
        <v>11111</v>
      </c>
      <c r="G1396" s="5"/>
      <c r="H1396" s="5"/>
      <c r="I1396" s="5"/>
      <c r="J1396" s="5"/>
    </row>
    <row r="1397" spans="1:10" ht="14.1" customHeight="1" thickBot="1" x14ac:dyDescent="0.25">
      <c r="A1397" s="83"/>
      <c r="B1397" s="62" t="s">
        <v>12941</v>
      </c>
      <c r="C1397" s="71">
        <v>44198</v>
      </c>
      <c r="D1397" s="83"/>
      <c r="E1397" s="62" t="s">
        <v>3073</v>
      </c>
      <c r="F1397" s="61" t="s">
        <v>11111</v>
      </c>
      <c r="G1397" s="5"/>
      <c r="H1397" s="5"/>
      <c r="I1397" s="5"/>
      <c r="J1397" s="5"/>
    </row>
    <row r="1398" spans="1:10" ht="14.1" customHeight="1" thickBot="1" x14ac:dyDescent="0.25">
      <c r="A1398" s="83"/>
      <c r="B1398" s="62" t="s">
        <v>1786</v>
      </c>
      <c r="C1398" s="60">
        <f>IF(C1397="","",IF(AND(MONTH(C1397)&gt;=1,MONTH(C1397)&lt;=3),1,IF(AND(MONTH(C1397)&gt;=4,MONTH(C1397)&lt;=6),2,IF(AND(MONTH(C1397)&gt;=7,MONTH(C1397)&lt;=9),3,4))))</f>
        <v>1</v>
      </c>
      <c r="D1398" s="83"/>
      <c r="E1398" s="62" t="s">
        <v>13191</v>
      </c>
      <c r="F1398" s="61" t="s">
        <v>11111</v>
      </c>
      <c r="G1398" s="5"/>
      <c r="H1398" s="5"/>
      <c r="I1398" s="5"/>
      <c r="J1398" s="5"/>
    </row>
    <row r="1399" spans="1:10" ht="14.1" customHeight="1" thickBot="1" x14ac:dyDescent="0.25">
      <c r="A1399" s="5"/>
      <c r="B1399" s="5"/>
      <c r="C1399" s="5"/>
      <c r="D1399" s="5"/>
      <c r="E1399" s="5"/>
      <c r="F1399" s="5"/>
      <c r="G1399" s="5"/>
      <c r="H1399" s="5"/>
      <c r="I1399" s="5"/>
      <c r="J1399" s="5"/>
    </row>
    <row r="1400" spans="1:10" ht="14.1" customHeight="1" thickBot="1" x14ac:dyDescent="0.25">
      <c r="A1400" s="67" t="s">
        <v>15735</v>
      </c>
      <c r="B1400" s="67" t="s">
        <v>16146</v>
      </c>
      <c r="C1400" s="67" t="s">
        <v>15641</v>
      </c>
      <c r="D1400" s="67" t="s">
        <v>15251</v>
      </c>
      <c r="E1400" s="67" t="s">
        <v>6932</v>
      </c>
      <c r="F1400" s="67" t="s">
        <v>15280</v>
      </c>
      <c r="G1400" s="5"/>
      <c r="H1400" s="5"/>
      <c r="I1400" s="5"/>
      <c r="J1400" s="5"/>
    </row>
    <row r="1401" spans="1:10" ht="13.5" customHeight="1" x14ac:dyDescent="0.2">
      <c r="A1401" s="63">
        <v>52151701</v>
      </c>
      <c r="B1401" s="64" t="str">
        <f ca="1">IFERROR(INDEX(UNSPSCDes,MATCH(INDIRECT(ADDRESS(ROW(),COLUMN()-1,4)),UNSPSCCode,0)),"")</f>
        <v>Utensilios para servir para uso doméstico</v>
      </c>
      <c r="C1401" s="63" t="s">
        <v>1449</v>
      </c>
      <c r="D1401" s="63">
        <v>1</v>
      </c>
      <c r="E1401" s="66">
        <v>12500</v>
      </c>
      <c r="F1401" s="65">
        <f ca="1">INDIRECT(ADDRESS(ROW(),COLUMN()-2,4))*INDIRECT(ADDRESS(ROW(),COLUMN()-1,4))</f>
        <v>12500</v>
      </c>
      <c r="G1401" s="5"/>
      <c r="H1401" s="5"/>
      <c r="I1401" s="5"/>
      <c r="J1401" s="5"/>
    </row>
    <row r="1402" spans="1:10" ht="14.1" customHeight="1" x14ac:dyDescent="0.2">
      <c r="A1402" s="5"/>
      <c r="B1402" s="5"/>
      <c r="C1402" s="5"/>
      <c r="D1402" s="5"/>
      <c r="E1402" s="68" t="s">
        <v>12549</v>
      </c>
      <c r="F1402" s="69">
        <f ca="1">SUM(Table3127[MONTO TOTAL ESTIMADO])</f>
        <v>12500</v>
      </c>
      <c r="G1402" s="5"/>
      <c r="H1402" s="5" t="str">
        <f>C1394</f>
        <v>Bienes</v>
      </c>
      <c r="I1402" s="5" t="str">
        <f>E1394</f>
        <v>Sí</v>
      </c>
      <c r="J1402" s="5" t="str">
        <f>D1394</f>
        <v>Compras por debajo del Umbral</v>
      </c>
    </row>
    <row r="1403" spans="1:10" ht="14.1" customHeight="1" thickBot="1" x14ac:dyDescent="0.3"/>
    <row r="1404" spans="1:10" ht="33.75" customHeight="1" thickBot="1" x14ac:dyDescent="0.25">
      <c r="A1404" s="59" t="s">
        <v>16382</v>
      </c>
      <c r="B1404" s="59" t="s">
        <v>161</v>
      </c>
      <c r="C1404" s="59" t="s">
        <v>11723</v>
      </c>
      <c r="D1404" s="59" t="s">
        <v>14377</v>
      </c>
      <c r="E1404" s="59" t="s">
        <v>10961</v>
      </c>
      <c r="F1404" s="59" t="s">
        <v>11094</v>
      </c>
      <c r="G1404" s="5"/>
      <c r="H1404" s="5"/>
      <c r="I1404" s="5"/>
      <c r="J1404" s="5"/>
    </row>
    <row r="1405" spans="1:10" ht="14.1" customHeight="1" thickBot="1" x14ac:dyDescent="0.25">
      <c r="A1405" s="61" t="s">
        <v>18903</v>
      </c>
      <c r="B1405" s="61" t="s">
        <v>18904</v>
      </c>
      <c r="C1405" s="61" t="s">
        <v>17798</v>
      </c>
      <c r="D1405" s="61" t="s">
        <v>10170</v>
      </c>
      <c r="E1405" s="61" t="s">
        <v>8854</v>
      </c>
      <c r="F1405" s="61"/>
      <c r="G1405" s="5"/>
      <c r="H1405" s="5"/>
      <c r="I1405" s="5"/>
      <c r="J1405" s="5"/>
    </row>
    <row r="1406" spans="1:10" ht="14.1" customHeight="1" thickBot="1" x14ac:dyDescent="0.25">
      <c r="A1406" s="82" t="s">
        <v>14828</v>
      </c>
      <c r="B1406" s="62" t="s">
        <v>8528</v>
      </c>
      <c r="C1406" s="71">
        <v>44287</v>
      </c>
      <c r="D1406" s="82" t="s">
        <v>9385</v>
      </c>
      <c r="E1406" s="62" t="s">
        <v>13092</v>
      </c>
      <c r="F1406" s="61" t="s">
        <v>3080</v>
      </c>
      <c r="G1406" s="5"/>
      <c r="H1406" s="5"/>
      <c r="I1406" s="5"/>
      <c r="J1406" s="5"/>
    </row>
    <row r="1407" spans="1:10" ht="14.1" customHeight="1" thickBot="1" x14ac:dyDescent="0.25">
      <c r="A1407" s="83"/>
      <c r="B1407" s="62" t="s">
        <v>1786</v>
      </c>
      <c r="C1407" s="60">
        <f>IF(C1406="","",IF(AND(MONTH(C1406)&gt;=1,MONTH(C1406)&lt;=3),1,IF(AND(MONTH(C1406)&gt;=4,MONTH(C1406)&lt;=6),2,IF(AND(MONTH(C1406)&gt;=7,MONTH(C1406)&lt;=9),3,4))))</f>
        <v>2</v>
      </c>
      <c r="D1407" s="83"/>
      <c r="E1407" s="62" t="s">
        <v>2417</v>
      </c>
      <c r="F1407" s="61" t="s">
        <v>11111</v>
      </c>
      <c r="G1407" s="5"/>
      <c r="H1407" s="5"/>
      <c r="I1407" s="5"/>
      <c r="J1407" s="5"/>
    </row>
    <row r="1408" spans="1:10" ht="14.1" customHeight="1" thickBot="1" x14ac:dyDescent="0.25">
      <c r="A1408" s="83"/>
      <c r="B1408" s="62" t="s">
        <v>12941</v>
      </c>
      <c r="C1408" s="71">
        <v>44288</v>
      </c>
      <c r="D1408" s="83"/>
      <c r="E1408" s="62" t="s">
        <v>3073</v>
      </c>
      <c r="F1408" s="61" t="s">
        <v>11111</v>
      </c>
      <c r="G1408" s="5"/>
      <c r="H1408" s="5"/>
      <c r="I1408" s="5"/>
      <c r="J1408" s="5"/>
    </row>
    <row r="1409" spans="1:10" ht="14.1" customHeight="1" thickBot="1" x14ac:dyDescent="0.25">
      <c r="A1409" s="83"/>
      <c r="B1409" s="62" t="s">
        <v>1786</v>
      </c>
      <c r="C1409" s="60">
        <f>IF(C1408="","",IF(AND(MONTH(C1408)&gt;=1,MONTH(C1408)&lt;=3),1,IF(AND(MONTH(C1408)&gt;=4,MONTH(C1408)&lt;=6),2,IF(AND(MONTH(C1408)&gt;=7,MONTH(C1408)&lt;=9),3,4))))</f>
        <v>2</v>
      </c>
      <c r="D1409" s="83"/>
      <c r="E1409" s="62" t="s">
        <v>13191</v>
      </c>
      <c r="F1409" s="61" t="s">
        <v>11111</v>
      </c>
      <c r="G1409" s="5"/>
      <c r="H1409" s="5"/>
      <c r="I1409" s="5"/>
      <c r="J1409" s="5"/>
    </row>
    <row r="1410" spans="1:10" ht="14.1" customHeight="1" thickBot="1" x14ac:dyDescent="0.25">
      <c r="A1410" s="5"/>
      <c r="B1410" s="5"/>
      <c r="C1410" s="5"/>
      <c r="D1410" s="5"/>
      <c r="E1410" s="5"/>
      <c r="F1410" s="5"/>
      <c r="G1410" s="5"/>
      <c r="H1410" s="5"/>
      <c r="I1410" s="5"/>
      <c r="J1410" s="5"/>
    </row>
    <row r="1411" spans="1:10" ht="14.1" customHeight="1" thickBot="1" x14ac:dyDescent="0.25">
      <c r="A1411" s="67" t="s">
        <v>15735</v>
      </c>
      <c r="B1411" s="67" t="s">
        <v>16146</v>
      </c>
      <c r="C1411" s="67" t="s">
        <v>15641</v>
      </c>
      <c r="D1411" s="67" t="s">
        <v>15251</v>
      </c>
      <c r="E1411" s="67" t="s">
        <v>6932</v>
      </c>
      <c r="F1411" s="67" t="s">
        <v>15280</v>
      </c>
      <c r="G1411" s="5"/>
      <c r="H1411" s="5"/>
      <c r="I1411" s="5"/>
      <c r="J1411" s="5"/>
    </row>
    <row r="1412" spans="1:10" ht="13.5" customHeight="1" x14ac:dyDescent="0.2">
      <c r="A1412" s="63">
        <v>52151701</v>
      </c>
      <c r="B1412" s="64" t="str">
        <f ca="1">IFERROR(INDEX(UNSPSCDes,MATCH(INDIRECT(ADDRESS(ROW(),COLUMN()-1,4)),UNSPSCCode,0)),"")</f>
        <v>Utensilios para servir para uso doméstico</v>
      </c>
      <c r="C1412" s="63" t="s">
        <v>1449</v>
      </c>
      <c r="D1412" s="63">
        <v>1</v>
      </c>
      <c r="E1412" s="66">
        <v>12500</v>
      </c>
      <c r="F1412" s="65">
        <f ca="1">INDIRECT(ADDRESS(ROW(),COLUMN()-2,4))*INDIRECT(ADDRESS(ROW(),COLUMN()-1,4))</f>
        <v>12500</v>
      </c>
      <c r="G1412" s="5"/>
      <c r="H1412" s="5"/>
      <c r="I1412" s="5"/>
      <c r="J1412" s="5"/>
    </row>
    <row r="1413" spans="1:10" ht="14.1" customHeight="1" x14ac:dyDescent="0.2">
      <c r="A1413" s="5"/>
      <c r="B1413" s="5"/>
      <c r="C1413" s="5"/>
      <c r="D1413" s="5"/>
      <c r="E1413" s="68" t="s">
        <v>12549</v>
      </c>
      <c r="F1413" s="69">
        <f ca="1">SUM(Table3128[MONTO TOTAL ESTIMADO])</f>
        <v>12500</v>
      </c>
      <c r="G1413" s="5"/>
      <c r="H1413" s="5" t="str">
        <f>C1405</f>
        <v>Bienes</v>
      </c>
      <c r="I1413" s="5" t="str">
        <f>E1405</f>
        <v>Sí</v>
      </c>
      <c r="J1413" s="5" t="str">
        <f>D1405</f>
        <v>Compras por debajo del Umbral</v>
      </c>
    </row>
    <row r="1414" spans="1:10" ht="14.1" customHeight="1" thickBot="1" x14ac:dyDescent="0.3"/>
    <row r="1415" spans="1:10" ht="33.75" customHeight="1" thickBot="1" x14ac:dyDescent="0.25">
      <c r="A1415" s="59" t="s">
        <v>16382</v>
      </c>
      <c r="B1415" s="59" t="s">
        <v>161</v>
      </c>
      <c r="C1415" s="59" t="s">
        <v>11723</v>
      </c>
      <c r="D1415" s="59" t="s">
        <v>14377</v>
      </c>
      <c r="E1415" s="59" t="s">
        <v>10961</v>
      </c>
      <c r="F1415" s="59" t="s">
        <v>11094</v>
      </c>
      <c r="G1415" s="5"/>
      <c r="H1415" s="5"/>
      <c r="I1415" s="5"/>
      <c r="J1415" s="5"/>
    </row>
    <row r="1416" spans="1:10" ht="14.1" customHeight="1" thickBot="1" x14ac:dyDescent="0.25">
      <c r="A1416" s="61" t="s">
        <v>18903</v>
      </c>
      <c r="B1416" s="61" t="s">
        <v>18904</v>
      </c>
      <c r="C1416" s="61" t="s">
        <v>17798</v>
      </c>
      <c r="D1416" s="61" t="s">
        <v>10170</v>
      </c>
      <c r="E1416" s="61" t="s">
        <v>8854</v>
      </c>
      <c r="F1416" s="61"/>
      <c r="G1416" s="5"/>
      <c r="H1416" s="5"/>
      <c r="I1416" s="5"/>
      <c r="J1416" s="5"/>
    </row>
    <row r="1417" spans="1:10" ht="14.1" customHeight="1" thickBot="1" x14ac:dyDescent="0.25">
      <c r="A1417" s="82" t="s">
        <v>14828</v>
      </c>
      <c r="B1417" s="62" t="s">
        <v>8528</v>
      </c>
      <c r="C1417" s="71">
        <v>44378</v>
      </c>
      <c r="D1417" s="82" t="s">
        <v>9385</v>
      </c>
      <c r="E1417" s="62" t="s">
        <v>13092</v>
      </c>
      <c r="F1417" s="61" t="s">
        <v>3080</v>
      </c>
      <c r="G1417" s="5"/>
      <c r="H1417" s="5"/>
      <c r="I1417" s="5"/>
      <c r="J1417" s="5"/>
    </row>
    <row r="1418" spans="1:10" ht="14.1" customHeight="1" thickBot="1" x14ac:dyDescent="0.25">
      <c r="A1418" s="83"/>
      <c r="B1418" s="62" t="s">
        <v>1786</v>
      </c>
      <c r="C1418" s="60">
        <f>IF(C1417="","",IF(AND(MONTH(C1417)&gt;=1,MONTH(C1417)&lt;=3),1,IF(AND(MONTH(C1417)&gt;=4,MONTH(C1417)&lt;=6),2,IF(AND(MONTH(C1417)&gt;=7,MONTH(C1417)&lt;=9),3,4))))</f>
        <v>3</v>
      </c>
      <c r="D1418" s="83"/>
      <c r="E1418" s="62" t="s">
        <v>2417</v>
      </c>
      <c r="F1418" s="61" t="s">
        <v>11111</v>
      </c>
      <c r="G1418" s="5"/>
      <c r="H1418" s="5"/>
      <c r="I1418" s="5"/>
      <c r="J1418" s="5"/>
    </row>
    <row r="1419" spans="1:10" ht="14.1" customHeight="1" thickBot="1" x14ac:dyDescent="0.25">
      <c r="A1419" s="83"/>
      <c r="B1419" s="62" t="s">
        <v>12941</v>
      </c>
      <c r="C1419" s="71">
        <v>44379</v>
      </c>
      <c r="D1419" s="83"/>
      <c r="E1419" s="62" t="s">
        <v>3073</v>
      </c>
      <c r="F1419" s="61" t="s">
        <v>11111</v>
      </c>
      <c r="G1419" s="5"/>
      <c r="H1419" s="5"/>
      <c r="I1419" s="5"/>
      <c r="J1419" s="5"/>
    </row>
    <row r="1420" spans="1:10" ht="14.1" customHeight="1" thickBot="1" x14ac:dyDescent="0.25">
      <c r="A1420" s="83"/>
      <c r="B1420" s="62" t="s">
        <v>1786</v>
      </c>
      <c r="C1420" s="60">
        <f>IF(C1419="","",IF(AND(MONTH(C1419)&gt;=1,MONTH(C1419)&lt;=3),1,IF(AND(MONTH(C1419)&gt;=4,MONTH(C1419)&lt;=6),2,IF(AND(MONTH(C1419)&gt;=7,MONTH(C1419)&lt;=9),3,4))))</f>
        <v>3</v>
      </c>
      <c r="D1420" s="83"/>
      <c r="E1420" s="62" t="s">
        <v>13191</v>
      </c>
      <c r="F1420" s="61" t="s">
        <v>11111</v>
      </c>
      <c r="G1420" s="5"/>
      <c r="H1420" s="5"/>
      <c r="I1420" s="5"/>
      <c r="J1420" s="5"/>
    </row>
    <row r="1421" spans="1:10" ht="14.1" customHeight="1" thickBot="1" x14ac:dyDescent="0.25">
      <c r="A1421" s="5"/>
      <c r="B1421" s="5"/>
      <c r="C1421" s="5"/>
      <c r="D1421" s="5"/>
      <c r="E1421" s="5"/>
      <c r="F1421" s="5"/>
      <c r="G1421" s="5"/>
      <c r="H1421" s="5"/>
      <c r="I1421" s="5"/>
      <c r="J1421" s="5"/>
    </row>
    <row r="1422" spans="1:10" ht="14.1" customHeight="1" thickBot="1" x14ac:dyDescent="0.25">
      <c r="A1422" s="67" t="s">
        <v>15735</v>
      </c>
      <c r="B1422" s="67" t="s">
        <v>16146</v>
      </c>
      <c r="C1422" s="67" t="s">
        <v>15641</v>
      </c>
      <c r="D1422" s="67" t="s">
        <v>15251</v>
      </c>
      <c r="E1422" s="67" t="s">
        <v>6932</v>
      </c>
      <c r="F1422" s="67" t="s">
        <v>15280</v>
      </c>
      <c r="G1422" s="5"/>
      <c r="H1422" s="5"/>
      <c r="I1422" s="5"/>
      <c r="J1422" s="5"/>
    </row>
    <row r="1423" spans="1:10" ht="13.5" customHeight="1" x14ac:dyDescent="0.2">
      <c r="A1423" s="63">
        <v>52151701</v>
      </c>
      <c r="B1423" s="64" t="str">
        <f ca="1">IFERROR(INDEX(UNSPSCDes,MATCH(INDIRECT(ADDRESS(ROW(),COLUMN()-1,4)),UNSPSCCode,0)),"")</f>
        <v>Utensilios para servir para uso doméstico</v>
      </c>
      <c r="C1423" s="63" t="s">
        <v>1449</v>
      </c>
      <c r="D1423" s="63">
        <v>1</v>
      </c>
      <c r="E1423" s="66">
        <v>12500</v>
      </c>
      <c r="F1423" s="65">
        <f ca="1">INDIRECT(ADDRESS(ROW(),COLUMN()-2,4))*INDIRECT(ADDRESS(ROW(),COLUMN()-1,4))</f>
        <v>12500</v>
      </c>
      <c r="G1423" s="5"/>
      <c r="H1423" s="5"/>
      <c r="I1423" s="5"/>
      <c r="J1423" s="5"/>
    </row>
    <row r="1424" spans="1:10" ht="14.1" customHeight="1" x14ac:dyDescent="0.2">
      <c r="A1424" s="5"/>
      <c r="B1424" s="5"/>
      <c r="C1424" s="5"/>
      <c r="D1424" s="5"/>
      <c r="E1424" s="68" t="s">
        <v>12549</v>
      </c>
      <c r="F1424" s="69">
        <f ca="1">SUM(Table3129[MONTO TOTAL ESTIMADO])</f>
        <v>12500</v>
      </c>
      <c r="G1424" s="5"/>
      <c r="H1424" s="5" t="str">
        <f>C1416</f>
        <v>Bienes</v>
      </c>
      <c r="I1424" s="5" t="str">
        <f>E1416</f>
        <v>Sí</v>
      </c>
      <c r="J1424" s="5" t="str">
        <f>D1416</f>
        <v>Compras por debajo del Umbral</v>
      </c>
    </row>
    <row r="1425" spans="1:10" ht="14.1" customHeight="1" thickBot="1" x14ac:dyDescent="0.3"/>
    <row r="1426" spans="1:10" ht="33.75" customHeight="1" thickBot="1" x14ac:dyDescent="0.25">
      <c r="A1426" s="59" t="s">
        <v>16382</v>
      </c>
      <c r="B1426" s="59" t="s">
        <v>161</v>
      </c>
      <c r="C1426" s="59" t="s">
        <v>11723</v>
      </c>
      <c r="D1426" s="59" t="s">
        <v>14377</v>
      </c>
      <c r="E1426" s="59" t="s">
        <v>10961</v>
      </c>
      <c r="F1426" s="59" t="s">
        <v>11094</v>
      </c>
      <c r="G1426" s="5"/>
      <c r="H1426" s="5"/>
      <c r="I1426" s="5"/>
      <c r="J1426" s="5"/>
    </row>
    <row r="1427" spans="1:10" ht="14.1" customHeight="1" thickBot="1" x14ac:dyDescent="0.25">
      <c r="A1427" s="61" t="s">
        <v>18903</v>
      </c>
      <c r="B1427" s="61" t="s">
        <v>18904</v>
      </c>
      <c r="C1427" s="61" t="s">
        <v>17798</v>
      </c>
      <c r="D1427" s="61" t="s">
        <v>10170</v>
      </c>
      <c r="E1427" s="61" t="s">
        <v>8854</v>
      </c>
      <c r="F1427" s="61"/>
      <c r="G1427" s="5"/>
      <c r="H1427" s="5"/>
      <c r="I1427" s="5"/>
      <c r="J1427" s="5"/>
    </row>
    <row r="1428" spans="1:10" ht="14.1" customHeight="1" thickBot="1" x14ac:dyDescent="0.25">
      <c r="A1428" s="82" t="s">
        <v>14828</v>
      </c>
      <c r="B1428" s="62" t="s">
        <v>8528</v>
      </c>
      <c r="C1428" s="71">
        <v>44470</v>
      </c>
      <c r="D1428" s="82" t="s">
        <v>9385</v>
      </c>
      <c r="E1428" s="62" t="s">
        <v>13092</v>
      </c>
      <c r="F1428" s="61" t="s">
        <v>3080</v>
      </c>
      <c r="G1428" s="5"/>
      <c r="H1428" s="5"/>
      <c r="I1428" s="5"/>
      <c r="J1428" s="5"/>
    </row>
    <row r="1429" spans="1:10" ht="14.1" customHeight="1" thickBot="1" x14ac:dyDescent="0.25">
      <c r="A1429" s="83"/>
      <c r="B1429" s="62" t="s">
        <v>1786</v>
      </c>
      <c r="C1429" s="60">
        <f>IF(C1428="","",IF(AND(MONTH(C1428)&gt;=1,MONTH(C1428)&lt;=3),1,IF(AND(MONTH(C1428)&gt;=4,MONTH(C1428)&lt;=6),2,IF(AND(MONTH(C1428)&gt;=7,MONTH(C1428)&lt;=9),3,4))))</f>
        <v>4</v>
      </c>
      <c r="D1429" s="83"/>
      <c r="E1429" s="62" t="s">
        <v>2417</v>
      </c>
      <c r="F1429" s="61" t="s">
        <v>11111</v>
      </c>
      <c r="G1429" s="5"/>
      <c r="H1429" s="5"/>
      <c r="I1429" s="5"/>
      <c r="J1429" s="5"/>
    </row>
    <row r="1430" spans="1:10" ht="14.1" customHeight="1" thickBot="1" x14ac:dyDescent="0.25">
      <c r="A1430" s="83"/>
      <c r="B1430" s="62" t="s">
        <v>12941</v>
      </c>
      <c r="C1430" s="71">
        <v>44473</v>
      </c>
      <c r="D1430" s="83"/>
      <c r="E1430" s="62" t="s">
        <v>3073</v>
      </c>
      <c r="F1430" s="61" t="s">
        <v>11111</v>
      </c>
      <c r="G1430" s="5"/>
      <c r="H1430" s="5"/>
      <c r="I1430" s="5"/>
      <c r="J1430" s="5"/>
    </row>
    <row r="1431" spans="1:10" ht="14.1" customHeight="1" thickBot="1" x14ac:dyDescent="0.25">
      <c r="A1431" s="83"/>
      <c r="B1431" s="62" t="s">
        <v>1786</v>
      </c>
      <c r="C1431" s="60">
        <f>IF(C1430="","",IF(AND(MONTH(C1430)&gt;=1,MONTH(C1430)&lt;=3),1,IF(AND(MONTH(C1430)&gt;=4,MONTH(C1430)&lt;=6),2,IF(AND(MONTH(C1430)&gt;=7,MONTH(C1430)&lt;=9),3,4))))</f>
        <v>4</v>
      </c>
      <c r="D1431" s="83"/>
      <c r="E1431" s="62" t="s">
        <v>13191</v>
      </c>
      <c r="F1431" s="61" t="s">
        <v>11111</v>
      </c>
      <c r="G1431" s="5"/>
      <c r="H1431" s="5"/>
      <c r="I1431" s="5"/>
      <c r="J1431" s="5"/>
    </row>
    <row r="1432" spans="1:10" ht="14.1" customHeight="1" thickBot="1" x14ac:dyDescent="0.25">
      <c r="A1432" s="5"/>
      <c r="B1432" s="5"/>
      <c r="C1432" s="5"/>
      <c r="D1432" s="5"/>
      <c r="E1432" s="5"/>
      <c r="F1432" s="5"/>
      <c r="G1432" s="5"/>
      <c r="H1432" s="5"/>
      <c r="I1432" s="5"/>
      <c r="J1432" s="5"/>
    </row>
    <row r="1433" spans="1:10" ht="14.1" customHeight="1" thickBot="1" x14ac:dyDescent="0.25">
      <c r="A1433" s="67" t="s">
        <v>15735</v>
      </c>
      <c r="B1433" s="67" t="s">
        <v>16146</v>
      </c>
      <c r="C1433" s="67" t="s">
        <v>15641</v>
      </c>
      <c r="D1433" s="67" t="s">
        <v>15251</v>
      </c>
      <c r="E1433" s="67" t="s">
        <v>6932</v>
      </c>
      <c r="F1433" s="67" t="s">
        <v>15280</v>
      </c>
      <c r="G1433" s="5"/>
      <c r="H1433" s="5"/>
      <c r="I1433" s="5"/>
      <c r="J1433" s="5"/>
    </row>
    <row r="1434" spans="1:10" ht="13.5" customHeight="1" x14ac:dyDescent="0.2">
      <c r="A1434" s="63">
        <v>52151701</v>
      </c>
      <c r="B1434" s="64" t="str">
        <f ca="1">IFERROR(INDEX(UNSPSCDes,MATCH(INDIRECT(ADDRESS(ROW(),COLUMN()-1,4)),UNSPSCCode,0)),"")</f>
        <v>Utensilios para servir para uso doméstico</v>
      </c>
      <c r="C1434" s="63" t="s">
        <v>1449</v>
      </c>
      <c r="D1434" s="63">
        <v>1</v>
      </c>
      <c r="E1434" s="66">
        <v>12500</v>
      </c>
      <c r="F1434" s="65">
        <f ca="1">INDIRECT(ADDRESS(ROW(),COLUMN()-2,4))*INDIRECT(ADDRESS(ROW(),COLUMN()-1,4))</f>
        <v>12500</v>
      </c>
      <c r="G1434" s="5"/>
      <c r="H1434" s="5"/>
      <c r="I1434" s="5"/>
      <c r="J1434" s="5"/>
    </row>
    <row r="1435" spans="1:10" ht="14.1" customHeight="1" x14ac:dyDescent="0.2">
      <c r="A1435" s="5"/>
      <c r="B1435" s="5"/>
      <c r="C1435" s="5"/>
      <c r="D1435" s="5"/>
      <c r="E1435" s="68" t="s">
        <v>12549</v>
      </c>
      <c r="F1435" s="69">
        <f ca="1">SUM(Table3130[MONTO TOTAL ESTIMADO])</f>
        <v>12500</v>
      </c>
      <c r="G1435" s="5"/>
      <c r="H1435" s="5" t="str">
        <f>C1427</f>
        <v>Bienes</v>
      </c>
      <c r="I1435" s="5" t="str">
        <f>E1427</f>
        <v>Sí</v>
      </c>
      <c r="J1435" s="5" t="str">
        <f>D1427</f>
        <v>Compras por debajo del Umbral</v>
      </c>
    </row>
    <row r="1436" spans="1:10" ht="14.1" customHeight="1" thickBot="1" x14ac:dyDescent="0.3"/>
    <row r="1437" spans="1:10" ht="33.75" customHeight="1" thickBot="1" x14ac:dyDescent="0.25">
      <c r="A1437" s="59" t="s">
        <v>16382</v>
      </c>
      <c r="B1437" s="59" t="s">
        <v>161</v>
      </c>
      <c r="C1437" s="59" t="s">
        <v>11723</v>
      </c>
      <c r="D1437" s="59" t="s">
        <v>14377</v>
      </c>
      <c r="E1437" s="59" t="s">
        <v>10961</v>
      </c>
      <c r="F1437" s="59" t="s">
        <v>11094</v>
      </c>
      <c r="G1437" s="5"/>
      <c r="H1437" s="5"/>
      <c r="I1437" s="5"/>
      <c r="J1437" s="5"/>
    </row>
    <row r="1438" spans="1:10" ht="14.1" customHeight="1" thickBot="1" x14ac:dyDescent="0.25">
      <c r="A1438" s="61" t="s">
        <v>18905</v>
      </c>
      <c r="B1438" s="61" t="s">
        <v>18906</v>
      </c>
      <c r="C1438" s="61" t="s">
        <v>17798</v>
      </c>
      <c r="D1438" s="61" t="s">
        <v>10170</v>
      </c>
      <c r="E1438" s="61" t="s">
        <v>8854</v>
      </c>
      <c r="F1438" s="61"/>
      <c r="G1438" s="5"/>
      <c r="H1438" s="5"/>
      <c r="I1438" s="5"/>
      <c r="J1438" s="5"/>
    </row>
    <row r="1439" spans="1:10" ht="14.1" customHeight="1" thickBot="1" x14ac:dyDescent="0.25">
      <c r="A1439" s="82" t="s">
        <v>14828</v>
      </c>
      <c r="B1439" s="62" t="s">
        <v>8528</v>
      </c>
      <c r="C1439" s="71">
        <v>44197</v>
      </c>
      <c r="D1439" s="82" t="s">
        <v>9385</v>
      </c>
      <c r="E1439" s="62" t="s">
        <v>13092</v>
      </c>
      <c r="F1439" s="61" t="s">
        <v>3080</v>
      </c>
      <c r="G1439" s="5"/>
      <c r="H1439" s="5"/>
      <c r="I1439" s="5"/>
      <c r="J1439" s="5"/>
    </row>
    <row r="1440" spans="1:10" ht="14.1" customHeight="1" thickBot="1" x14ac:dyDescent="0.25">
      <c r="A1440" s="83"/>
      <c r="B1440" s="62" t="s">
        <v>1786</v>
      </c>
      <c r="C1440" s="60">
        <f>IF(C1439="","",IF(AND(MONTH(C1439)&gt;=1,MONTH(C1439)&lt;=3),1,IF(AND(MONTH(C1439)&gt;=4,MONTH(C1439)&lt;=6),2,IF(AND(MONTH(C1439)&gt;=7,MONTH(C1439)&lt;=9),3,4))))</f>
        <v>1</v>
      </c>
      <c r="D1440" s="83"/>
      <c r="E1440" s="62" t="s">
        <v>2417</v>
      </c>
      <c r="F1440" s="61" t="s">
        <v>11111</v>
      </c>
      <c r="G1440" s="5"/>
      <c r="H1440" s="5"/>
      <c r="I1440" s="5"/>
      <c r="J1440" s="5"/>
    </row>
    <row r="1441" spans="1:10" ht="14.1" customHeight="1" thickBot="1" x14ac:dyDescent="0.25">
      <c r="A1441" s="83"/>
      <c r="B1441" s="62" t="s">
        <v>12941</v>
      </c>
      <c r="C1441" s="71">
        <v>44198</v>
      </c>
      <c r="D1441" s="83"/>
      <c r="E1441" s="62" t="s">
        <v>3073</v>
      </c>
      <c r="F1441" s="61" t="s">
        <v>11111</v>
      </c>
      <c r="G1441" s="5"/>
      <c r="H1441" s="5"/>
      <c r="I1441" s="5"/>
      <c r="J1441" s="5"/>
    </row>
    <row r="1442" spans="1:10" ht="14.1" customHeight="1" thickBot="1" x14ac:dyDescent="0.25">
      <c r="A1442" s="83"/>
      <c r="B1442" s="62" t="s">
        <v>1786</v>
      </c>
      <c r="C1442" s="60">
        <f>IF(C1441="","",IF(AND(MONTH(C1441)&gt;=1,MONTH(C1441)&lt;=3),1,IF(AND(MONTH(C1441)&gt;=4,MONTH(C1441)&lt;=6),2,IF(AND(MONTH(C1441)&gt;=7,MONTH(C1441)&lt;=9),3,4))))</f>
        <v>1</v>
      </c>
      <c r="D1442" s="83"/>
      <c r="E1442" s="62" t="s">
        <v>13191</v>
      </c>
      <c r="F1442" s="61" t="s">
        <v>11111</v>
      </c>
      <c r="G1442" s="5"/>
      <c r="H1442" s="5"/>
      <c r="I1442" s="5"/>
      <c r="J1442" s="5"/>
    </row>
    <row r="1443" spans="1:10" ht="14.1" customHeight="1" thickBot="1" x14ac:dyDescent="0.25">
      <c r="A1443" s="5"/>
      <c r="B1443" s="5"/>
      <c r="C1443" s="5"/>
      <c r="D1443" s="5"/>
      <c r="E1443" s="5"/>
      <c r="F1443" s="5"/>
      <c r="G1443" s="5"/>
      <c r="H1443" s="5"/>
      <c r="I1443" s="5"/>
      <c r="J1443" s="5"/>
    </row>
    <row r="1444" spans="1:10" ht="14.1" customHeight="1" thickBot="1" x14ac:dyDescent="0.25">
      <c r="A1444" s="67" t="s">
        <v>15735</v>
      </c>
      <c r="B1444" s="67" t="s">
        <v>16146</v>
      </c>
      <c r="C1444" s="67" t="s">
        <v>15641</v>
      </c>
      <c r="D1444" s="67" t="s">
        <v>15251</v>
      </c>
      <c r="E1444" s="67" t="s">
        <v>6932</v>
      </c>
      <c r="F1444" s="67" t="s">
        <v>15280</v>
      </c>
      <c r="G1444" s="5"/>
      <c r="H1444" s="5"/>
      <c r="I1444" s="5"/>
      <c r="J1444" s="5"/>
    </row>
    <row r="1445" spans="1:10" ht="13.5" customHeight="1" x14ac:dyDescent="0.2">
      <c r="A1445" s="63">
        <v>39121311</v>
      </c>
      <c r="B1445" s="64" t="str">
        <f ca="1">IFERROR(INDEX(UNSPSCDes,MATCH(INDIRECT(ADDRESS(ROW(),COLUMN()-1,4)),UNSPSCCode,0)),"")</f>
        <v>Accesorios eléctricos</v>
      </c>
      <c r="C1445" s="63" t="s">
        <v>1449</v>
      </c>
      <c r="D1445" s="63">
        <v>1</v>
      </c>
      <c r="E1445" s="66">
        <v>87500</v>
      </c>
      <c r="F1445" s="65">
        <f ca="1">INDIRECT(ADDRESS(ROW(),COLUMN()-2,4))*INDIRECT(ADDRESS(ROW(),COLUMN()-1,4))</f>
        <v>87500</v>
      </c>
      <c r="G1445" s="5"/>
      <c r="H1445" s="5"/>
      <c r="I1445" s="5"/>
      <c r="J1445" s="5"/>
    </row>
    <row r="1446" spans="1:10" ht="14.1" customHeight="1" x14ac:dyDescent="0.2">
      <c r="A1446" s="5"/>
      <c r="B1446" s="5"/>
      <c r="C1446" s="5"/>
      <c r="D1446" s="5"/>
      <c r="E1446" s="68" t="s">
        <v>12549</v>
      </c>
      <c r="F1446" s="69">
        <f ca="1">SUM(Table3131[MONTO TOTAL ESTIMADO])</f>
        <v>87500</v>
      </c>
      <c r="G1446" s="5"/>
      <c r="H1446" s="5" t="str">
        <f>C1438</f>
        <v>Bienes</v>
      </c>
      <c r="I1446" s="5" t="str">
        <f>E1438</f>
        <v>Sí</v>
      </c>
      <c r="J1446" s="5" t="str">
        <f>D1438</f>
        <v>Compras por debajo del Umbral</v>
      </c>
    </row>
    <row r="1447" spans="1:10" ht="14.1" customHeight="1" thickBot="1" x14ac:dyDescent="0.3"/>
    <row r="1448" spans="1:10" ht="33.75" customHeight="1" thickBot="1" x14ac:dyDescent="0.25">
      <c r="A1448" s="59" t="s">
        <v>16382</v>
      </c>
      <c r="B1448" s="59" t="s">
        <v>161</v>
      </c>
      <c r="C1448" s="59" t="s">
        <v>11723</v>
      </c>
      <c r="D1448" s="59" t="s">
        <v>14377</v>
      </c>
      <c r="E1448" s="59" t="s">
        <v>10961</v>
      </c>
      <c r="F1448" s="59" t="s">
        <v>11094</v>
      </c>
      <c r="G1448" s="5"/>
      <c r="H1448" s="5"/>
      <c r="I1448" s="5"/>
      <c r="J1448" s="5"/>
    </row>
    <row r="1449" spans="1:10" ht="14.1" customHeight="1" thickBot="1" x14ac:dyDescent="0.25">
      <c r="A1449" s="61" t="s">
        <v>18905</v>
      </c>
      <c r="B1449" s="61" t="s">
        <v>18906</v>
      </c>
      <c r="C1449" s="61" t="s">
        <v>17798</v>
      </c>
      <c r="D1449" s="61" t="s">
        <v>10170</v>
      </c>
      <c r="E1449" s="61" t="s">
        <v>8854</v>
      </c>
      <c r="F1449" s="61"/>
      <c r="G1449" s="5"/>
      <c r="H1449" s="5"/>
      <c r="I1449" s="5"/>
      <c r="J1449" s="5"/>
    </row>
    <row r="1450" spans="1:10" ht="14.1" customHeight="1" thickBot="1" x14ac:dyDescent="0.25">
      <c r="A1450" s="82" t="s">
        <v>14828</v>
      </c>
      <c r="B1450" s="62" t="s">
        <v>8528</v>
      </c>
      <c r="C1450" s="71">
        <v>44287</v>
      </c>
      <c r="D1450" s="82" t="s">
        <v>9385</v>
      </c>
      <c r="E1450" s="62" t="s">
        <v>13092</v>
      </c>
      <c r="F1450" s="61" t="s">
        <v>3080</v>
      </c>
      <c r="G1450" s="5"/>
      <c r="H1450" s="5"/>
      <c r="I1450" s="5"/>
      <c r="J1450" s="5"/>
    </row>
    <row r="1451" spans="1:10" ht="14.1" customHeight="1" thickBot="1" x14ac:dyDescent="0.25">
      <c r="A1451" s="83"/>
      <c r="B1451" s="62" t="s">
        <v>1786</v>
      </c>
      <c r="C1451" s="60">
        <f>IF(C1450="","",IF(AND(MONTH(C1450)&gt;=1,MONTH(C1450)&lt;=3),1,IF(AND(MONTH(C1450)&gt;=4,MONTH(C1450)&lt;=6),2,IF(AND(MONTH(C1450)&gt;=7,MONTH(C1450)&lt;=9),3,4))))</f>
        <v>2</v>
      </c>
      <c r="D1451" s="83"/>
      <c r="E1451" s="62" t="s">
        <v>2417</v>
      </c>
      <c r="F1451" s="61" t="s">
        <v>11111</v>
      </c>
      <c r="G1451" s="5"/>
      <c r="H1451" s="5"/>
      <c r="I1451" s="5"/>
      <c r="J1451" s="5"/>
    </row>
    <row r="1452" spans="1:10" ht="14.1" customHeight="1" thickBot="1" x14ac:dyDescent="0.25">
      <c r="A1452" s="83"/>
      <c r="B1452" s="62" t="s">
        <v>12941</v>
      </c>
      <c r="C1452" s="71">
        <v>44288</v>
      </c>
      <c r="D1452" s="83"/>
      <c r="E1452" s="62" t="s">
        <v>3073</v>
      </c>
      <c r="F1452" s="61" t="s">
        <v>11111</v>
      </c>
      <c r="G1452" s="5"/>
      <c r="H1452" s="5"/>
      <c r="I1452" s="5"/>
      <c r="J1452" s="5"/>
    </row>
    <row r="1453" spans="1:10" ht="14.1" customHeight="1" thickBot="1" x14ac:dyDescent="0.25">
      <c r="A1453" s="83"/>
      <c r="B1453" s="62" t="s">
        <v>1786</v>
      </c>
      <c r="C1453" s="60">
        <f>IF(C1452="","",IF(AND(MONTH(C1452)&gt;=1,MONTH(C1452)&lt;=3),1,IF(AND(MONTH(C1452)&gt;=4,MONTH(C1452)&lt;=6),2,IF(AND(MONTH(C1452)&gt;=7,MONTH(C1452)&lt;=9),3,4))))</f>
        <v>2</v>
      </c>
      <c r="D1453" s="83"/>
      <c r="E1453" s="62" t="s">
        <v>13191</v>
      </c>
      <c r="F1453" s="61" t="s">
        <v>11111</v>
      </c>
      <c r="G1453" s="5"/>
      <c r="H1453" s="5"/>
      <c r="I1453" s="5"/>
      <c r="J1453" s="5"/>
    </row>
    <row r="1454" spans="1:10" ht="14.1" customHeight="1" thickBot="1" x14ac:dyDescent="0.25">
      <c r="A1454" s="5"/>
      <c r="B1454" s="5"/>
      <c r="C1454" s="5"/>
      <c r="D1454" s="5"/>
      <c r="E1454" s="5"/>
      <c r="F1454" s="5"/>
      <c r="G1454" s="5"/>
      <c r="H1454" s="5"/>
      <c r="I1454" s="5"/>
      <c r="J1454" s="5"/>
    </row>
    <row r="1455" spans="1:10" ht="14.1" customHeight="1" thickBot="1" x14ac:dyDescent="0.25">
      <c r="A1455" s="67" t="s">
        <v>15735</v>
      </c>
      <c r="B1455" s="67" t="s">
        <v>16146</v>
      </c>
      <c r="C1455" s="67" t="s">
        <v>15641</v>
      </c>
      <c r="D1455" s="67" t="s">
        <v>15251</v>
      </c>
      <c r="E1455" s="67" t="s">
        <v>6932</v>
      </c>
      <c r="F1455" s="67" t="s">
        <v>15280</v>
      </c>
      <c r="G1455" s="5"/>
      <c r="H1455" s="5"/>
      <c r="I1455" s="5"/>
      <c r="J1455" s="5"/>
    </row>
    <row r="1456" spans="1:10" ht="13.5" customHeight="1" x14ac:dyDescent="0.2">
      <c r="A1456" s="63">
        <v>39121311</v>
      </c>
      <c r="B1456" s="64" t="str">
        <f ca="1">IFERROR(INDEX(UNSPSCDes,MATCH(INDIRECT(ADDRESS(ROW(),COLUMN()-1,4)),UNSPSCCode,0)),"")</f>
        <v>Accesorios eléctricos</v>
      </c>
      <c r="C1456" s="63" t="s">
        <v>1449</v>
      </c>
      <c r="D1456" s="63">
        <v>1</v>
      </c>
      <c r="E1456" s="66">
        <v>87500</v>
      </c>
      <c r="F1456" s="65">
        <f ca="1">INDIRECT(ADDRESS(ROW(),COLUMN()-2,4))*INDIRECT(ADDRESS(ROW(),COLUMN()-1,4))</f>
        <v>87500</v>
      </c>
      <c r="G1456" s="5"/>
      <c r="H1456" s="5"/>
      <c r="I1456" s="5"/>
      <c r="J1456" s="5"/>
    </row>
    <row r="1457" spans="1:10" ht="14.1" customHeight="1" x14ac:dyDescent="0.2">
      <c r="A1457" s="5"/>
      <c r="B1457" s="5"/>
      <c r="C1457" s="5"/>
      <c r="D1457" s="5"/>
      <c r="E1457" s="68" t="s">
        <v>12549</v>
      </c>
      <c r="F1457" s="69">
        <f ca="1">SUM(Table3132[MONTO TOTAL ESTIMADO])</f>
        <v>87500</v>
      </c>
      <c r="G1457" s="5"/>
      <c r="H1457" s="5" t="str">
        <f>C1449</f>
        <v>Bienes</v>
      </c>
      <c r="I1457" s="5" t="str">
        <f>E1449</f>
        <v>Sí</v>
      </c>
      <c r="J1457" s="5" t="str">
        <f>D1449</f>
        <v>Compras por debajo del Umbral</v>
      </c>
    </row>
    <row r="1458" spans="1:10" ht="14.1" customHeight="1" thickBot="1" x14ac:dyDescent="0.3"/>
    <row r="1459" spans="1:10" ht="33.75" customHeight="1" thickBot="1" x14ac:dyDescent="0.25">
      <c r="A1459" s="59" t="s">
        <v>16382</v>
      </c>
      <c r="B1459" s="59" t="s">
        <v>161</v>
      </c>
      <c r="C1459" s="59" t="s">
        <v>11723</v>
      </c>
      <c r="D1459" s="59" t="s">
        <v>14377</v>
      </c>
      <c r="E1459" s="59" t="s">
        <v>10961</v>
      </c>
      <c r="F1459" s="59" t="s">
        <v>11094</v>
      </c>
      <c r="G1459" s="5"/>
      <c r="H1459" s="5"/>
      <c r="I1459" s="5"/>
      <c r="J1459" s="5"/>
    </row>
    <row r="1460" spans="1:10" ht="14.1" customHeight="1" thickBot="1" x14ac:dyDescent="0.25">
      <c r="A1460" s="61" t="s">
        <v>18905</v>
      </c>
      <c r="B1460" s="61" t="s">
        <v>18906</v>
      </c>
      <c r="C1460" s="61" t="s">
        <v>17798</v>
      </c>
      <c r="D1460" s="61" t="s">
        <v>10170</v>
      </c>
      <c r="E1460" s="61" t="s">
        <v>8854</v>
      </c>
      <c r="F1460" s="61"/>
      <c r="G1460" s="5"/>
      <c r="H1460" s="5"/>
      <c r="I1460" s="5"/>
      <c r="J1460" s="5"/>
    </row>
    <row r="1461" spans="1:10" ht="14.1" customHeight="1" thickBot="1" x14ac:dyDescent="0.25">
      <c r="A1461" s="82" t="s">
        <v>14828</v>
      </c>
      <c r="B1461" s="62" t="s">
        <v>8528</v>
      </c>
      <c r="C1461" s="71">
        <v>44378</v>
      </c>
      <c r="D1461" s="82" t="s">
        <v>9385</v>
      </c>
      <c r="E1461" s="62" t="s">
        <v>13092</v>
      </c>
      <c r="F1461" s="61" t="s">
        <v>3080</v>
      </c>
      <c r="G1461" s="5"/>
      <c r="H1461" s="5"/>
      <c r="I1461" s="5"/>
      <c r="J1461" s="5"/>
    </row>
    <row r="1462" spans="1:10" ht="14.1" customHeight="1" thickBot="1" x14ac:dyDescent="0.25">
      <c r="A1462" s="83"/>
      <c r="B1462" s="62" t="s">
        <v>1786</v>
      </c>
      <c r="C1462" s="60">
        <f>IF(C1461="","",IF(AND(MONTH(C1461)&gt;=1,MONTH(C1461)&lt;=3),1,IF(AND(MONTH(C1461)&gt;=4,MONTH(C1461)&lt;=6),2,IF(AND(MONTH(C1461)&gt;=7,MONTH(C1461)&lt;=9),3,4))))</f>
        <v>3</v>
      </c>
      <c r="D1462" s="83"/>
      <c r="E1462" s="62" t="s">
        <v>2417</v>
      </c>
      <c r="F1462" s="61" t="s">
        <v>11111</v>
      </c>
      <c r="G1462" s="5"/>
      <c r="H1462" s="5"/>
      <c r="I1462" s="5"/>
      <c r="J1462" s="5"/>
    </row>
    <row r="1463" spans="1:10" ht="14.1" customHeight="1" thickBot="1" x14ac:dyDescent="0.25">
      <c r="A1463" s="83"/>
      <c r="B1463" s="62" t="s">
        <v>12941</v>
      </c>
      <c r="C1463" s="71">
        <v>44379</v>
      </c>
      <c r="D1463" s="83"/>
      <c r="E1463" s="62" t="s">
        <v>3073</v>
      </c>
      <c r="F1463" s="61" t="s">
        <v>11111</v>
      </c>
      <c r="G1463" s="5"/>
      <c r="H1463" s="5"/>
      <c r="I1463" s="5"/>
      <c r="J1463" s="5"/>
    </row>
    <row r="1464" spans="1:10" ht="14.1" customHeight="1" thickBot="1" x14ac:dyDescent="0.25">
      <c r="A1464" s="83"/>
      <c r="B1464" s="62" t="s">
        <v>1786</v>
      </c>
      <c r="C1464" s="60">
        <f>IF(C1463="","",IF(AND(MONTH(C1463)&gt;=1,MONTH(C1463)&lt;=3),1,IF(AND(MONTH(C1463)&gt;=4,MONTH(C1463)&lt;=6),2,IF(AND(MONTH(C1463)&gt;=7,MONTH(C1463)&lt;=9),3,4))))</f>
        <v>3</v>
      </c>
      <c r="D1464" s="83"/>
      <c r="E1464" s="62" t="s">
        <v>13191</v>
      </c>
      <c r="F1464" s="61" t="s">
        <v>11111</v>
      </c>
      <c r="G1464" s="5"/>
      <c r="H1464" s="5"/>
      <c r="I1464" s="5"/>
      <c r="J1464" s="5"/>
    </row>
    <row r="1465" spans="1:10" ht="14.1" customHeight="1" thickBot="1" x14ac:dyDescent="0.25">
      <c r="A1465" s="5"/>
      <c r="B1465" s="5"/>
      <c r="C1465" s="5"/>
      <c r="D1465" s="5"/>
      <c r="E1465" s="5"/>
      <c r="F1465" s="5"/>
      <c r="G1465" s="5"/>
      <c r="H1465" s="5"/>
      <c r="I1465" s="5"/>
      <c r="J1465" s="5"/>
    </row>
    <row r="1466" spans="1:10" ht="14.1" customHeight="1" thickBot="1" x14ac:dyDescent="0.25">
      <c r="A1466" s="67" t="s">
        <v>15735</v>
      </c>
      <c r="B1466" s="67" t="s">
        <v>16146</v>
      </c>
      <c r="C1466" s="67" t="s">
        <v>15641</v>
      </c>
      <c r="D1466" s="67" t="s">
        <v>15251</v>
      </c>
      <c r="E1466" s="67" t="s">
        <v>6932</v>
      </c>
      <c r="F1466" s="67" t="s">
        <v>15280</v>
      </c>
      <c r="G1466" s="5"/>
      <c r="H1466" s="5"/>
      <c r="I1466" s="5"/>
      <c r="J1466" s="5"/>
    </row>
    <row r="1467" spans="1:10" ht="13.5" customHeight="1" x14ac:dyDescent="0.2">
      <c r="A1467" s="63">
        <v>39121311</v>
      </c>
      <c r="B1467" s="64" t="str">
        <f ca="1">IFERROR(INDEX(UNSPSCDes,MATCH(INDIRECT(ADDRESS(ROW(),COLUMN()-1,4)),UNSPSCCode,0)),"")</f>
        <v>Accesorios eléctricos</v>
      </c>
      <c r="C1467" s="63" t="s">
        <v>1449</v>
      </c>
      <c r="D1467" s="63">
        <v>1</v>
      </c>
      <c r="E1467" s="66">
        <v>87500</v>
      </c>
      <c r="F1467" s="65">
        <f ca="1">INDIRECT(ADDRESS(ROW(),COLUMN()-2,4))*INDIRECT(ADDRESS(ROW(),COLUMN()-1,4))</f>
        <v>87500</v>
      </c>
      <c r="G1467" s="5"/>
      <c r="H1467" s="5"/>
      <c r="I1467" s="5"/>
      <c r="J1467" s="5"/>
    </row>
    <row r="1468" spans="1:10" ht="14.1" customHeight="1" x14ac:dyDescent="0.2">
      <c r="A1468" s="5"/>
      <c r="B1468" s="5"/>
      <c r="C1468" s="5"/>
      <c r="D1468" s="5"/>
      <c r="E1468" s="68" t="s">
        <v>12549</v>
      </c>
      <c r="F1468" s="69">
        <f ca="1">SUM(Table3133[MONTO TOTAL ESTIMADO])</f>
        <v>87500</v>
      </c>
      <c r="G1468" s="5"/>
      <c r="H1468" s="5" t="str">
        <f>C1460</f>
        <v>Bienes</v>
      </c>
      <c r="I1468" s="5" t="str">
        <f>E1460</f>
        <v>Sí</v>
      </c>
      <c r="J1468" s="5" t="str">
        <f>D1460</f>
        <v>Compras por debajo del Umbral</v>
      </c>
    </row>
    <row r="1469" spans="1:10" ht="14.1" customHeight="1" thickBot="1" x14ac:dyDescent="0.3"/>
    <row r="1470" spans="1:10" ht="33.75" customHeight="1" thickBot="1" x14ac:dyDescent="0.25">
      <c r="A1470" s="59" t="s">
        <v>16382</v>
      </c>
      <c r="B1470" s="59" t="s">
        <v>161</v>
      </c>
      <c r="C1470" s="59" t="s">
        <v>11723</v>
      </c>
      <c r="D1470" s="59" t="s">
        <v>14377</v>
      </c>
      <c r="E1470" s="59" t="s">
        <v>10961</v>
      </c>
      <c r="F1470" s="59" t="s">
        <v>11094</v>
      </c>
      <c r="G1470" s="5"/>
      <c r="H1470" s="5"/>
      <c r="I1470" s="5"/>
      <c r="J1470" s="5"/>
    </row>
    <row r="1471" spans="1:10" ht="14.1" customHeight="1" thickBot="1" x14ac:dyDescent="0.25">
      <c r="A1471" s="61" t="s">
        <v>18905</v>
      </c>
      <c r="B1471" s="61" t="s">
        <v>18906</v>
      </c>
      <c r="C1471" s="61" t="s">
        <v>17798</v>
      </c>
      <c r="D1471" s="61" t="s">
        <v>10170</v>
      </c>
      <c r="E1471" s="61" t="s">
        <v>8854</v>
      </c>
      <c r="F1471" s="61"/>
      <c r="G1471" s="5"/>
      <c r="H1471" s="5"/>
      <c r="I1471" s="5"/>
      <c r="J1471" s="5"/>
    </row>
    <row r="1472" spans="1:10" ht="14.1" customHeight="1" thickBot="1" x14ac:dyDescent="0.25">
      <c r="A1472" s="82" t="s">
        <v>14828</v>
      </c>
      <c r="B1472" s="62" t="s">
        <v>8528</v>
      </c>
      <c r="C1472" s="71">
        <v>44470</v>
      </c>
      <c r="D1472" s="82" t="s">
        <v>9385</v>
      </c>
      <c r="E1472" s="62" t="s">
        <v>13092</v>
      </c>
      <c r="F1472" s="61" t="s">
        <v>3080</v>
      </c>
      <c r="G1472" s="5"/>
      <c r="H1472" s="5"/>
      <c r="I1472" s="5"/>
      <c r="J1472" s="5"/>
    </row>
    <row r="1473" spans="1:10" ht="14.1" customHeight="1" thickBot="1" x14ac:dyDescent="0.25">
      <c r="A1473" s="83"/>
      <c r="B1473" s="62" t="s">
        <v>1786</v>
      </c>
      <c r="C1473" s="60">
        <f>IF(C1472="","",IF(AND(MONTH(C1472)&gt;=1,MONTH(C1472)&lt;=3),1,IF(AND(MONTH(C1472)&gt;=4,MONTH(C1472)&lt;=6),2,IF(AND(MONTH(C1472)&gt;=7,MONTH(C1472)&lt;=9),3,4))))</f>
        <v>4</v>
      </c>
      <c r="D1473" s="83"/>
      <c r="E1473" s="62" t="s">
        <v>2417</v>
      </c>
      <c r="F1473" s="61" t="s">
        <v>11111</v>
      </c>
      <c r="G1473" s="5"/>
      <c r="H1473" s="5"/>
      <c r="I1473" s="5"/>
      <c r="J1473" s="5"/>
    </row>
    <row r="1474" spans="1:10" ht="14.1" customHeight="1" thickBot="1" x14ac:dyDescent="0.25">
      <c r="A1474" s="83"/>
      <c r="B1474" s="62" t="s">
        <v>12941</v>
      </c>
      <c r="C1474" s="71">
        <v>44473</v>
      </c>
      <c r="D1474" s="83"/>
      <c r="E1474" s="62" t="s">
        <v>3073</v>
      </c>
      <c r="F1474" s="61" t="s">
        <v>11111</v>
      </c>
      <c r="G1474" s="5"/>
      <c r="H1474" s="5"/>
      <c r="I1474" s="5"/>
      <c r="J1474" s="5"/>
    </row>
    <row r="1475" spans="1:10" ht="14.1" customHeight="1" thickBot="1" x14ac:dyDescent="0.25">
      <c r="A1475" s="83"/>
      <c r="B1475" s="62" t="s">
        <v>1786</v>
      </c>
      <c r="C1475" s="60">
        <f>IF(C1474="","",IF(AND(MONTH(C1474)&gt;=1,MONTH(C1474)&lt;=3),1,IF(AND(MONTH(C1474)&gt;=4,MONTH(C1474)&lt;=6),2,IF(AND(MONTH(C1474)&gt;=7,MONTH(C1474)&lt;=9),3,4))))</f>
        <v>4</v>
      </c>
      <c r="D1475" s="83"/>
      <c r="E1475" s="62" t="s">
        <v>13191</v>
      </c>
      <c r="F1475" s="61" t="s">
        <v>11111</v>
      </c>
      <c r="G1475" s="5"/>
      <c r="H1475" s="5"/>
      <c r="I1475" s="5"/>
      <c r="J1475" s="5"/>
    </row>
    <row r="1476" spans="1:10" ht="14.1" customHeight="1" thickBot="1" x14ac:dyDescent="0.25">
      <c r="A1476" s="5"/>
      <c r="B1476" s="5"/>
      <c r="C1476" s="5"/>
      <c r="D1476" s="5"/>
      <c r="E1476" s="5"/>
      <c r="F1476" s="5"/>
      <c r="G1476" s="5"/>
      <c r="H1476" s="5"/>
      <c r="I1476" s="5"/>
      <c r="J1476" s="5"/>
    </row>
    <row r="1477" spans="1:10" ht="14.1" customHeight="1" thickBot="1" x14ac:dyDescent="0.25">
      <c r="A1477" s="67" t="s">
        <v>15735</v>
      </c>
      <c r="B1477" s="67" t="s">
        <v>16146</v>
      </c>
      <c r="C1477" s="67" t="s">
        <v>15641</v>
      </c>
      <c r="D1477" s="67" t="s">
        <v>15251</v>
      </c>
      <c r="E1477" s="67" t="s">
        <v>6932</v>
      </c>
      <c r="F1477" s="67" t="s">
        <v>15280</v>
      </c>
      <c r="G1477" s="5"/>
      <c r="H1477" s="5"/>
      <c r="I1477" s="5"/>
      <c r="J1477" s="5"/>
    </row>
    <row r="1478" spans="1:10" ht="13.5" customHeight="1" x14ac:dyDescent="0.2">
      <c r="A1478" s="63">
        <v>39121311</v>
      </c>
      <c r="B1478" s="64" t="str">
        <f ca="1">IFERROR(INDEX(UNSPSCDes,MATCH(INDIRECT(ADDRESS(ROW(),COLUMN()-1,4)),UNSPSCCode,0)),"")</f>
        <v>Accesorios eléctricos</v>
      </c>
      <c r="C1478" s="63" t="s">
        <v>1449</v>
      </c>
      <c r="D1478" s="63">
        <v>1</v>
      </c>
      <c r="E1478" s="66">
        <v>87500</v>
      </c>
      <c r="F1478" s="65">
        <f ca="1">INDIRECT(ADDRESS(ROW(),COLUMN()-2,4))*INDIRECT(ADDRESS(ROW(),COLUMN()-1,4))</f>
        <v>87500</v>
      </c>
      <c r="G1478" s="5"/>
      <c r="H1478" s="5"/>
      <c r="I1478" s="5"/>
      <c r="J1478" s="5"/>
    </row>
    <row r="1479" spans="1:10" ht="14.1" customHeight="1" x14ac:dyDescent="0.2">
      <c r="A1479" s="5"/>
      <c r="B1479" s="5"/>
      <c r="C1479" s="5"/>
      <c r="D1479" s="5"/>
      <c r="E1479" s="68" t="s">
        <v>12549</v>
      </c>
      <c r="F1479" s="69">
        <f ca="1">SUM(Table3134[MONTO TOTAL ESTIMADO])</f>
        <v>87500</v>
      </c>
      <c r="G1479" s="5"/>
      <c r="H1479" s="5" t="str">
        <f>C1471</f>
        <v>Bienes</v>
      </c>
      <c r="I1479" s="5" t="str">
        <f>E1471</f>
        <v>Sí</v>
      </c>
      <c r="J1479" s="5" t="str">
        <f>D1471</f>
        <v>Compras por debajo del Umbral</v>
      </c>
    </row>
    <row r="1480" spans="1:10" ht="14.1" customHeight="1" thickBot="1" x14ac:dyDescent="0.3"/>
    <row r="1481" spans="1:10" ht="33.75" customHeight="1" thickBot="1" x14ac:dyDescent="0.25">
      <c r="A1481" s="59" t="s">
        <v>16382</v>
      </c>
      <c r="B1481" s="59" t="s">
        <v>161</v>
      </c>
      <c r="C1481" s="59" t="s">
        <v>11723</v>
      </c>
      <c r="D1481" s="59" t="s">
        <v>14377</v>
      </c>
      <c r="E1481" s="59" t="s">
        <v>10961</v>
      </c>
      <c r="F1481" s="59" t="s">
        <v>11094</v>
      </c>
      <c r="G1481" s="5"/>
      <c r="H1481" s="5"/>
      <c r="I1481" s="5"/>
      <c r="J1481" s="5"/>
    </row>
    <row r="1482" spans="1:10" ht="14.1" customHeight="1" thickBot="1" x14ac:dyDescent="0.25">
      <c r="A1482" s="61" t="s">
        <v>18907</v>
      </c>
      <c r="B1482" s="61" t="s">
        <v>18908</v>
      </c>
      <c r="C1482" s="61" t="s">
        <v>6798</v>
      </c>
      <c r="D1482" s="61" t="s">
        <v>10170</v>
      </c>
      <c r="E1482" s="61" t="s">
        <v>17854</v>
      </c>
      <c r="F1482" s="61"/>
      <c r="G1482" s="5"/>
      <c r="H1482" s="5"/>
      <c r="I1482" s="5"/>
      <c r="J1482" s="5"/>
    </row>
    <row r="1483" spans="1:10" ht="14.1" customHeight="1" thickBot="1" x14ac:dyDescent="0.25">
      <c r="A1483" s="82" t="s">
        <v>14828</v>
      </c>
      <c r="B1483" s="62" t="s">
        <v>8528</v>
      </c>
      <c r="C1483" s="71">
        <v>44378</v>
      </c>
      <c r="D1483" s="82" t="s">
        <v>9385</v>
      </c>
      <c r="E1483" s="62" t="s">
        <v>13092</v>
      </c>
      <c r="F1483" s="61" t="s">
        <v>3080</v>
      </c>
      <c r="G1483" s="5"/>
      <c r="H1483" s="5"/>
      <c r="I1483" s="5"/>
      <c r="J1483" s="5"/>
    </row>
    <row r="1484" spans="1:10" ht="14.1" customHeight="1" thickBot="1" x14ac:dyDescent="0.25">
      <c r="A1484" s="83"/>
      <c r="B1484" s="62" t="s">
        <v>1786</v>
      </c>
      <c r="C1484" s="60">
        <f>IF(C1483="","",IF(AND(MONTH(C1483)&gt;=1,MONTH(C1483)&lt;=3),1,IF(AND(MONTH(C1483)&gt;=4,MONTH(C1483)&lt;=6),2,IF(AND(MONTH(C1483)&gt;=7,MONTH(C1483)&lt;=9),3,4))))</f>
        <v>3</v>
      </c>
      <c r="D1484" s="83"/>
      <c r="E1484" s="62" t="s">
        <v>2417</v>
      </c>
      <c r="F1484" s="61" t="s">
        <v>11111</v>
      </c>
      <c r="G1484" s="5"/>
      <c r="H1484" s="5"/>
      <c r="I1484" s="5"/>
      <c r="J1484" s="5"/>
    </row>
    <row r="1485" spans="1:10" ht="14.1" customHeight="1" thickBot="1" x14ac:dyDescent="0.25">
      <c r="A1485" s="83"/>
      <c r="B1485" s="62" t="s">
        <v>12941</v>
      </c>
      <c r="C1485" s="71">
        <v>44379</v>
      </c>
      <c r="D1485" s="83"/>
      <c r="E1485" s="62" t="s">
        <v>3073</v>
      </c>
      <c r="F1485" s="61" t="s">
        <v>11111</v>
      </c>
      <c r="G1485" s="5"/>
      <c r="H1485" s="5"/>
      <c r="I1485" s="5"/>
      <c r="J1485" s="5"/>
    </row>
    <row r="1486" spans="1:10" ht="14.1" customHeight="1" thickBot="1" x14ac:dyDescent="0.25">
      <c r="A1486" s="83"/>
      <c r="B1486" s="62" t="s">
        <v>1786</v>
      </c>
      <c r="C1486" s="60">
        <f>IF(C1485="","",IF(AND(MONTH(C1485)&gt;=1,MONTH(C1485)&lt;=3),1,IF(AND(MONTH(C1485)&gt;=4,MONTH(C1485)&lt;=6),2,IF(AND(MONTH(C1485)&gt;=7,MONTH(C1485)&lt;=9),3,4))))</f>
        <v>3</v>
      </c>
      <c r="D1486" s="83"/>
      <c r="E1486" s="62" t="s">
        <v>13191</v>
      </c>
      <c r="F1486" s="61" t="s">
        <v>11111</v>
      </c>
      <c r="G1486" s="5"/>
      <c r="H1486" s="5"/>
      <c r="I1486" s="5"/>
      <c r="J1486" s="5"/>
    </row>
    <row r="1487" spans="1:10" ht="14.1" customHeight="1" thickBot="1" x14ac:dyDescent="0.25">
      <c r="A1487" s="5"/>
      <c r="B1487" s="5"/>
      <c r="C1487" s="5"/>
      <c r="D1487" s="5"/>
      <c r="E1487" s="5"/>
      <c r="F1487" s="5"/>
      <c r="G1487" s="5"/>
      <c r="H1487" s="5"/>
      <c r="I1487" s="5"/>
      <c r="J1487" s="5"/>
    </row>
    <row r="1488" spans="1:10" ht="14.1" customHeight="1" thickBot="1" x14ac:dyDescent="0.25">
      <c r="A1488" s="67" t="s">
        <v>15735</v>
      </c>
      <c r="B1488" s="67" t="s">
        <v>16146</v>
      </c>
      <c r="C1488" s="67" t="s">
        <v>15641</v>
      </c>
      <c r="D1488" s="67" t="s">
        <v>15251</v>
      </c>
      <c r="E1488" s="67" t="s">
        <v>6932</v>
      </c>
      <c r="F1488" s="67" t="s">
        <v>15280</v>
      </c>
      <c r="G1488" s="5"/>
      <c r="H1488" s="5"/>
      <c r="I1488" s="5"/>
      <c r="J1488" s="5"/>
    </row>
    <row r="1489" spans="1:10" ht="13.5" customHeight="1" x14ac:dyDescent="0.2">
      <c r="A1489" s="77">
        <v>60101710</v>
      </c>
      <c r="B1489" s="64" t="str">
        <f ca="1">IFERROR(INDEX(UNSPSCDes,MATCH(INDIRECT(ADDRESS(ROW(),COLUMN()-1,4)),UNSPSCCode,0)),"")</f>
        <v>Regalos del educador</v>
      </c>
      <c r="C1489" s="63" t="s">
        <v>1449</v>
      </c>
      <c r="D1489" s="63">
        <v>1</v>
      </c>
      <c r="E1489" s="66">
        <v>8000</v>
      </c>
      <c r="F1489" s="65">
        <f ca="1">INDIRECT(ADDRESS(ROW(),COLUMN()-2,4))*INDIRECT(ADDRESS(ROW(),COLUMN()-1,4))</f>
        <v>8000</v>
      </c>
      <c r="G1489" s="5"/>
      <c r="H1489" s="5"/>
      <c r="I1489" s="5"/>
      <c r="J1489" s="5"/>
    </row>
    <row r="1490" spans="1:10" ht="14.1" customHeight="1" x14ac:dyDescent="0.2">
      <c r="A1490" s="5"/>
      <c r="B1490" s="5"/>
      <c r="C1490" s="5"/>
      <c r="D1490" s="5"/>
      <c r="E1490" s="68" t="s">
        <v>12549</v>
      </c>
      <c r="F1490" s="69">
        <f ca="1">SUM(Table3135[MONTO TOTAL ESTIMADO])</f>
        <v>8000</v>
      </c>
      <c r="G1490" s="5"/>
      <c r="H1490" s="5" t="str">
        <f>C1482</f>
        <v>Servicios</v>
      </c>
      <c r="I1490" s="5" t="str">
        <f>E1482</f>
        <v>No</v>
      </c>
      <c r="J1490" s="5" t="str">
        <f>D1482</f>
        <v>Compras por debajo del Umbral</v>
      </c>
    </row>
    <row r="1491" spans="1:10" ht="14.1" customHeight="1" thickBot="1" x14ac:dyDescent="0.3"/>
    <row r="1492" spans="1:10" ht="33.75" customHeight="1" thickBot="1" x14ac:dyDescent="0.25">
      <c r="A1492" s="59" t="s">
        <v>16382</v>
      </c>
      <c r="B1492" s="59" t="s">
        <v>161</v>
      </c>
      <c r="C1492" s="59" t="s">
        <v>11723</v>
      </c>
      <c r="D1492" s="59" t="s">
        <v>14377</v>
      </c>
      <c r="E1492" s="59" t="s">
        <v>10961</v>
      </c>
      <c r="F1492" s="59" t="s">
        <v>11094</v>
      </c>
      <c r="G1492" s="5"/>
      <c r="H1492" s="5"/>
      <c r="I1492" s="5"/>
      <c r="J1492" s="5"/>
    </row>
    <row r="1493" spans="1:10" ht="14.1" customHeight="1" thickBot="1" x14ac:dyDescent="0.25">
      <c r="A1493" s="61" t="s">
        <v>18909</v>
      </c>
      <c r="B1493" s="61" t="s">
        <v>18921</v>
      </c>
      <c r="C1493" s="61" t="s">
        <v>6798</v>
      </c>
      <c r="D1493" s="61" t="s">
        <v>10170</v>
      </c>
      <c r="E1493" s="61" t="s">
        <v>17854</v>
      </c>
      <c r="F1493" s="61"/>
      <c r="G1493" s="5"/>
      <c r="H1493" s="5"/>
      <c r="I1493" s="5"/>
      <c r="J1493" s="5"/>
    </row>
    <row r="1494" spans="1:10" ht="14.1" customHeight="1" thickBot="1" x14ac:dyDescent="0.25">
      <c r="A1494" s="82" t="s">
        <v>14828</v>
      </c>
      <c r="B1494" s="62" t="s">
        <v>8528</v>
      </c>
      <c r="C1494" s="71">
        <v>44287</v>
      </c>
      <c r="D1494" s="82" t="s">
        <v>9385</v>
      </c>
      <c r="E1494" s="62" t="s">
        <v>13092</v>
      </c>
      <c r="F1494" s="61" t="s">
        <v>3080</v>
      </c>
      <c r="G1494" s="5"/>
      <c r="H1494" s="5"/>
      <c r="I1494" s="5"/>
      <c r="J1494" s="5"/>
    </row>
    <row r="1495" spans="1:10" ht="14.1" customHeight="1" thickBot="1" x14ac:dyDescent="0.25">
      <c r="A1495" s="83"/>
      <c r="B1495" s="62" t="s">
        <v>1786</v>
      </c>
      <c r="C1495" s="60">
        <f>IF(C1494="","",IF(AND(MONTH(C1494)&gt;=1,MONTH(C1494)&lt;=3),1,IF(AND(MONTH(C1494)&gt;=4,MONTH(C1494)&lt;=6),2,IF(AND(MONTH(C1494)&gt;=7,MONTH(C1494)&lt;=9),3,4))))</f>
        <v>2</v>
      </c>
      <c r="D1495" s="83"/>
      <c r="E1495" s="62" t="s">
        <v>2417</v>
      </c>
      <c r="F1495" s="61" t="s">
        <v>11111</v>
      </c>
      <c r="G1495" s="5"/>
      <c r="H1495" s="5"/>
      <c r="I1495" s="5"/>
      <c r="J1495" s="5"/>
    </row>
    <row r="1496" spans="1:10" ht="14.1" customHeight="1" thickBot="1" x14ac:dyDescent="0.25">
      <c r="A1496" s="83"/>
      <c r="B1496" s="62" t="s">
        <v>12941</v>
      </c>
      <c r="C1496" s="71">
        <v>44301</v>
      </c>
      <c r="D1496" s="83"/>
      <c r="E1496" s="62" t="s">
        <v>3073</v>
      </c>
      <c r="F1496" s="61" t="s">
        <v>11111</v>
      </c>
      <c r="G1496" s="5"/>
      <c r="H1496" s="5"/>
      <c r="I1496" s="5"/>
      <c r="J1496" s="5"/>
    </row>
    <row r="1497" spans="1:10" ht="14.1" customHeight="1" thickBot="1" x14ac:dyDescent="0.25">
      <c r="A1497" s="83"/>
      <c r="B1497" s="62" t="s">
        <v>1786</v>
      </c>
      <c r="C1497" s="60">
        <f>IF(C1496="","",IF(AND(MONTH(C1496)&gt;=1,MONTH(C1496)&lt;=3),1,IF(AND(MONTH(C1496)&gt;=4,MONTH(C1496)&lt;=6),2,IF(AND(MONTH(C1496)&gt;=7,MONTH(C1496)&lt;=9),3,4))))</f>
        <v>2</v>
      </c>
      <c r="D1497" s="83"/>
      <c r="E1497" s="62" t="s">
        <v>13191</v>
      </c>
      <c r="F1497" s="61" t="s">
        <v>11111</v>
      </c>
      <c r="G1497" s="5"/>
      <c r="H1497" s="5"/>
      <c r="I1497" s="5"/>
      <c r="J1497" s="5"/>
    </row>
    <row r="1498" spans="1:10" ht="14.1" customHeight="1" thickBot="1" x14ac:dyDescent="0.25">
      <c r="A1498" s="5"/>
      <c r="B1498" s="5"/>
      <c r="C1498" s="5"/>
      <c r="D1498" s="5"/>
      <c r="E1498" s="5"/>
      <c r="F1498" s="5"/>
      <c r="G1498" s="5"/>
      <c r="H1498" s="5"/>
      <c r="I1498" s="5"/>
      <c r="J1498" s="5"/>
    </row>
    <row r="1499" spans="1:10" ht="14.1" customHeight="1" thickBot="1" x14ac:dyDescent="0.25">
      <c r="A1499" s="67" t="s">
        <v>15735</v>
      </c>
      <c r="B1499" s="67" t="s">
        <v>16146</v>
      </c>
      <c r="C1499" s="67" t="s">
        <v>15641</v>
      </c>
      <c r="D1499" s="67" t="s">
        <v>15251</v>
      </c>
      <c r="E1499" s="67" t="s">
        <v>6932</v>
      </c>
      <c r="F1499" s="67" t="s">
        <v>15280</v>
      </c>
      <c r="G1499" s="5"/>
      <c r="H1499" s="5"/>
      <c r="I1499" s="5"/>
      <c r="J1499" s="5"/>
    </row>
    <row r="1500" spans="1:10" ht="13.5" customHeight="1" x14ac:dyDescent="0.2">
      <c r="A1500" s="77">
        <v>49101706</v>
      </c>
      <c r="B1500" s="64" t="str">
        <f ca="1">IFERROR(INDEX(UNSPSCDes,MATCH(INDIRECT(ADDRESS(ROW(),COLUMN()-1,4)),UNSPSCCode,0)),"")</f>
        <v>Premios de fotografía</v>
      </c>
      <c r="C1500" s="63" t="s">
        <v>1449</v>
      </c>
      <c r="D1500" s="63">
        <v>1</v>
      </c>
      <c r="E1500" s="66">
        <v>55000</v>
      </c>
      <c r="F1500" s="65">
        <f ca="1">INDIRECT(ADDRESS(ROW(),COLUMN()-2,4))*INDIRECT(ADDRESS(ROW(),COLUMN()-1,4))</f>
        <v>55000</v>
      </c>
      <c r="G1500" s="5"/>
      <c r="H1500" s="5"/>
      <c r="I1500" s="5"/>
      <c r="J1500" s="5"/>
    </row>
    <row r="1501" spans="1:10" ht="14.1" customHeight="1" x14ac:dyDescent="0.2">
      <c r="A1501" s="5"/>
      <c r="B1501" s="5"/>
      <c r="C1501" s="5"/>
      <c r="D1501" s="5"/>
      <c r="E1501" s="68" t="s">
        <v>12549</v>
      </c>
      <c r="F1501" s="69">
        <f ca="1">SUM(Table3136[MONTO TOTAL ESTIMADO])</f>
        <v>55000</v>
      </c>
      <c r="G1501" s="5"/>
      <c r="H1501" s="5" t="str">
        <f>C1493</f>
        <v>Servicios</v>
      </c>
      <c r="I1501" s="5" t="str">
        <f>E1493</f>
        <v>No</v>
      </c>
      <c r="J1501" s="5" t="str">
        <f>D1493</f>
        <v>Compras por debajo del Umbral</v>
      </c>
    </row>
    <row r="1502" spans="1:10" ht="14.1" customHeight="1" thickBot="1" x14ac:dyDescent="0.3"/>
    <row r="1503" spans="1:10" ht="33.75" customHeight="1" thickBot="1" x14ac:dyDescent="0.25">
      <c r="A1503" s="59" t="s">
        <v>16382</v>
      </c>
      <c r="B1503" s="59" t="s">
        <v>161</v>
      </c>
      <c r="C1503" s="59" t="s">
        <v>11723</v>
      </c>
      <c r="D1503" s="59" t="s">
        <v>14377</v>
      </c>
      <c r="E1503" s="59" t="s">
        <v>10961</v>
      </c>
      <c r="F1503" s="59" t="s">
        <v>11094</v>
      </c>
      <c r="G1503" s="5"/>
      <c r="H1503" s="5"/>
      <c r="I1503" s="5"/>
      <c r="J1503" s="5"/>
    </row>
    <row r="1504" spans="1:10" ht="14.1" customHeight="1" thickBot="1" x14ac:dyDescent="0.25">
      <c r="A1504" s="61" t="s">
        <v>18910</v>
      </c>
      <c r="B1504" s="61" t="s">
        <v>18911</v>
      </c>
      <c r="C1504" s="61" t="s">
        <v>17798</v>
      </c>
      <c r="D1504" s="61" t="s">
        <v>17483</v>
      </c>
      <c r="E1504" s="61" t="s">
        <v>8854</v>
      </c>
      <c r="F1504" s="61"/>
      <c r="G1504" s="5"/>
      <c r="H1504" s="5"/>
      <c r="I1504" s="5"/>
      <c r="J1504" s="5"/>
    </row>
    <row r="1505" spans="1:10" ht="14.1" customHeight="1" thickBot="1" x14ac:dyDescent="0.25">
      <c r="A1505" s="82" t="s">
        <v>14828</v>
      </c>
      <c r="B1505" s="62" t="s">
        <v>8528</v>
      </c>
      <c r="C1505" s="71">
        <v>44197</v>
      </c>
      <c r="D1505" s="82" t="s">
        <v>9385</v>
      </c>
      <c r="E1505" s="62" t="s">
        <v>13092</v>
      </c>
      <c r="F1505" s="61" t="s">
        <v>3080</v>
      </c>
      <c r="G1505" s="5"/>
      <c r="H1505" s="5"/>
      <c r="I1505" s="5"/>
      <c r="J1505" s="5"/>
    </row>
    <row r="1506" spans="1:10" ht="14.1" customHeight="1" thickBot="1" x14ac:dyDescent="0.25">
      <c r="A1506" s="83"/>
      <c r="B1506" s="62" t="s">
        <v>1786</v>
      </c>
      <c r="C1506" s="60">
        <f>IF(C1505="","",IF(AND(MONTH(C1505)&gt;=1,MONTH(C1505)&lt;=3),1,IF(AND(MONTH(C1505)&gt;=4,MONTH(C1505)&lt;=6),2,IF(AND(MONTH(C1505)&gt;=7,MONTH(C1505)&lt;=9),3,4))))</f>
        <v>1</v>
      </c>
      <c r="D1506" s="83"/>
      <c r="E1506" s="62" t="s">
        <v>2417</v>
      </c>
      <c r="F1506" s="61" t="s">
        <v>11111</v>
      </c>
      <c r="G1506" s="5"/>
      <c r="H1506" s="5"/>
      <c r="I1506" s="5"/>
      <c r="J1506" s="5"/>
    </row>
    <row r="1507" spans="1:10" ht="14.1" customHeight="1" thickBot="1" x14ac:dyDescent="0.25">
      <c r="A1507" s="83"/>
      <c r="B1507" s="62" t="s">
        <v>12941</v>
      </c>
      <c r="C1507" s="71">
        <v>44198</v>
      </c>
      <c r="D1507" s="83"/>
      <c r="E1507" s="62" t="s">
        <v>3073</v>
      </c>
      <c r="F1507" s="61" t="s">
        <v>11111</v>
      </c>
      <c r="G1507" s="5"/>
      <c r="H1507" s="5"/>
      <c r="I1507" s="5"/>
      <c r="J1507" s="5"/>
    </row>
    <row r="1508" spans="1:10" ht="14.1" customHeight="1" thickBot="1" x14ac:dyDescent="0.25">
      <c r="A1508" s="83"/>
      <c r="B1508" s="62" t="s">
        <v>1786</v>
      </c>
      <c r="C1508" s="60">
        <f>IF(C1507="","",IF(AND(MONTH(C1507)&gt;=1,MONTH(C1507)&lt;=3),1,IF(AND(MONTH(C1507)&gt;=4,MONTH(C1507)&lt;=6),2,IF(AND(MONTH(C1507)&gt;=7,MONTH(C1507)&lt;=9),3,4))))</f>
        <v>1</v>
      </c>
      <c r="D1508" s="83"/>
      <c r="E1508" s="62" t="s">
        <v>13191</v>
      </c>
      <c r="F1508" s="61" t="s">
        <v>11111</v>
      </c>
      <c r="G1508" s="5"/>
      <c r="H1508" s="5"/>
      <c r="I1508" s="5"/>
      <c r="J1508" s="5"/>
    </row>
    <row r="1509" spans="1:10" ht="14.1" customHeight="1" thickBot="1" x14ac:dyDescent="0.25">
      <c r="A1509" s="5"/>
      <c r="B1509" s="5"/>
      <c r="C1509" s="5"/>
      <c r="D1509" s="5"/>
      <c r="E1509" s="5"/>
      <c r="F1509" s="5"/>
      <c r="G1509" s="5"/>
      <c r="H1509" s="5"/>
      <c r="I1509" s="5"/>
      <c r="J1509" s="5"/>
    </row>
    <row r="1510" spans="1:10" ht="14.1" customHeight="1" thickBot="1" x14ac:dyDescent="0.25">
      <c r="A1510" s="67" t="s">
        <v>15735</v>
      </c>
      <c r="B1510" s="67" t="s">
        <v>16146</v>
      </c>
      <c r="C1510" s="67" t="s">
        <v>15641</v>
      </c>
      <c r="D1510" s="67" t="s">
        <v>15251</v>
      </c>
      <c r="E1510" s="67" t="s">
        <v>6932</v>
      </c>
      <c r="F1510" s="67" t="s">
        <v>15280</v>
      </c>
      <c r="G1510" s="5"/>
      <c r="H1510" s="5"/>
      <c r="I1510" s="5"/>
      <c r="J1510" s="5"/>
    </row>
    <row r="1511" spans="1:10" ht="13.5" customHeight="1" x14ac:dyDescent="0.2">
      <c r="A1511" s="63">
        <v>56101532</v>
      </c>
      <c r="B1511" s="64" t="str">
        <f ca="1">IFERROR(INDEX(UNSPSCDes,MATCH(INDIRECT(ADDRESS(ROW(),COLUMN()-1,4)),UNSPSCCode,0)),"")</f>
        <v>Set de muebles</v>
      </c>
      <c r="C1511" s="63" t="s">
        <v>1449</v>
      </c>
      <c r="D1511" s="63">
        <v>1</v>
      </c>
      <c r="E1511" s="66">
        <v>250000</v>
      </c>
      <c r="F1511" s="65">
        <f ca="1">INDIRECT(ADDRESS(ROW(),COLUMN()-2,4))*INDIRECT(ADDRESS(ROW(),COLUMN()-1,4))</f>
        <v>250000</v>
      </c>
      <c r="G1511" s="5"/>
      <c r="H1511" s="5"/>
      <c r="I1511" s="5"/>
      <c r="J1511" s="5"/>
    </row>
    <row r="1512" spans="1:10" ht="14.1" customHeight="1" x14ac:dyDescent="0.2">
      <c r="A1512" s="5"/>
      <c r="B1512" s="5"/>
      <c r="C1512" s="5"/>
      <c r="D1512" s="5"/>
      <c r="E1512" s="68" t="s">
        <v>12549</v>
      </c>
      <c r="F1512" s="69">
        <f ca="1">SUM(Table3137[MONTO TOTAL ESTIMADO])</f>
        <v>250000</v>
      </c>
      <c r="G1512" s="5"/>
      <c r="H1512" s="5" t="str">
        <f>C1504</f>
        <v>Bienes</v>
      </c>
      <c r="I1512" s="5" t="str">
        <f>E1504</f>
        <v>Sí</v>
      </c>
      <c r="J1512" s="5" t="str">
        <f>D1504</f>
        <v>Compras Menores</v>
      </c>
    </row>
    <row r="1513" spans="1:10" ht="14.1" customHeight="1" thickBot="1" x14ac:dyDescent="0.3"/>
    <row r="1514" spans="1:10" ht="33.75" customHeight="1" thickBot="1" x14ac:dyDescent="0.25">
      <c r="A1514" s="59" t="s">
        <v>16382</v>
      </c>
      <c r="B1514" s="59" t="s">
        <v>161</v>
      </c>
      <c r="C1514" s="59" t="s">
        <v>11723</v>
      </c>
      <c r="D1514" s="59" t="s">
        <v>14377</v>
      </c>
      <c r="E1514" s="59" t="s">
        <v>10961</v>
      </c>
      <c r="F1514" s="59" t="s">
        <v>11094</v>
      </c>
      <c r="G1514" s="5"/>
      <c r="H1514" s="5"/>
      <c r="I1514" s="5"/>
      <c r="J1514" s="5"/>
    </row>
    <row r="1515" spans="1:10" ht="14.1" customHeight="1" thickBot="1" x14ac:dyDescent="0.25">
      <c r="A1515" s="61" t="s">
        <v>18910</v>
      </c>
      <c r="B1515" s="61" t="s">
        <v>18911</v>
      </c>
      <c r="C1515" s="61" t="s">
        <v>17798</v>
      </c>
      <c r="D1515" s="61" t="s">
        <v>17483</v>
      </c>
      <c r="E1515" s="61" t="s">
        <v>8854</v>
      </c>
      <c r="F1515" s="61"/>
      <c r="G1515" s="5"/>
      <c r="H1515" s="5"/>
      <c r="I1515" s="5"/>
      <c r="J1515" s="5"/>
    </row>
    <row r="1516" spans="1:10" ht="14.1" customHeight="1" thickBot="1" x14ac:dyDescent="0.25">
      <c r="A1516" s="82" t="s">
        <v>14828</v>
      </c>
      <c r="B1516" s="62" t="s">
        <v>8528</v>
      </c>
      <c r="C1516" s="71">
        <v>44287</v>
      </c>
      <c r="D1516" s="82" t="s">
        <v>9385</v>
      </c>
      <c r="E1516" s="62" t="s">
        <v>13092</v>
      </c>
      <c r="F1516" s="61" t="s">
        <v>3080</v>
      </c>
      <c r="G1516" s="5"/>
      <c r="H1516" s="5"/>
      <c r="I1516" s="5"/>
      <c r="J1516" s="5"/>
    </row>
    <row r="1517" spans="1:10" ht="14.1" customHeight="1" thickBot="1" x14ac:dyDescent="0.25">
      <c r="A1517" s="83"/>
      <c r="B1517" s="62" t="s">
        <v>1786</v>
      </c>
      <c r="C1517" s="60">
        <f>IF(C1516="","",IF(AND(MONTH(C1516)&gt;=1,MONTH(C1516)&lt;=3),1,IF(AND(MONTH(C1516)&gt;=4,MONTH(C1516)&lt;=6),2,IF(AND(MONTH(C1516)&gt;=7,MONTH(C1516)&lt;=9),3,4))))</f>
        <v>2</v>
      </c>
      <c r="D1517" s="83"/>
      <c r="E1517" s="62" t="s">
        <v>2417</v>
      </c>
      <c r="F1517" s="61" t="s">
        <v>11111</v>
      </c>
      <c r="G1517" s="5"/>
      <c r="H1517" s="5"/>
      <c r="I1517" s="5"/>
      <c r="J1517" s="5"/>
    </row>
    <row r="1518" spans="1:10" ht="14.1" customHeight="1" thickBot="1" x14ac:dyDescent="0.25">
      <c r="A1518" s="83"/>
      <c r="B1518" s="62" t="s">
        <v>12941</v>
      </c>
      <c r="C1518" s="71">
        <v>44288</v>
      </c>
      <c r="D1518" s="83"/>
      <c r="E1518" s="62" t="s">
        <v>3073</v>
      </c>
      <c r="F1518" s="61" t="s">
        <v>11111</v>
      </c>
      <c r="G1518" s="5"/>
      <c r="H1518" s="5"/>
      <c r="I1518" s="5"/>
      <c r="J1518" s="5"/>
    </row>
    <row r="1519" spans="1:10" ht="14.1" customHeight="1" thickBot="1" x14ac:dyDescent="0.25">
      <c r="A1519" s="83"/>
      <c r="B1519" s="62" t="s">
        <v>1786</v>
      </c>
      <c r="C1519" s="60">
        <f>IF(C1518="","",IF(AND(MONTH(C1518)&gt;=1,MONTH(C1518)&lt;=3),1,IF(AND(MONTH(C1518)&gt;=4,MONTH(C1518)&lt;=6),2,IF(AND(MONTH(C1518)&gt;=7,MONTH(C1518)&lt;=9),3,4))))</f>
        <v>2</v>
      </c>
      <c r="D1519" s="83"/>
      <c r="E1519" s="62" t="s">
        <v>13191</v>
      </c>
      <c r="F1519" s="61" t="s">
        <v>11111</v>
      </c>
      <c r="G1519" s="5"/>
      <c r="H1519" s="5"/>
      <c r="I1519" s="5"/>
      <c r="J1519" s="5"/>
    </row>
    <row r="1520" spans="1:10" ht="14.1" customHeight="1" thickBot="1" x14ac:dyDescent="0.25">
      <c r="A1520" s="5"/>
      <c r="B1520" s="5"/>
      <c r="C1520" s="5"/>
      <c r="D1520" s="5"/>
      <c r="E1520" s="5"/>
      <c r="F1520" s="5"/>
      <c r="G1520" s="5"/>
      <c r="H1520" s="5"/>
      <c r="I1520" s="5"/>
      <c r="J1520" s="5"/>
    </row>
    <row r="1521" spans="1:10" ht="14.1" customHeight="1" thickBot="1" x14ac:dyDescent="0.25">
      <c r="A1521" s="67" t="s">
        <v>15735</v>
      </c>
      <c r="B1521" s="67" t="s">
        <v>16146</v>
      </c>
      <c r="C1521" s="67" t="s">
        <v>15641</v>
      </c>
      <c r="D1521" s="67" t="s">
        <v>15251</v>
      </c>
      <c r="E1521" s="67" t="s">
        <v>6932</v>
      </c>
      <c r="F1521" s="67" t="s">
        <v>15280</v>
      </c>
      <c r="G1521" s="5"/>
      <c r="H1521" s="5"/>
      <c r="I1521" s="5"/>
      <c r="J1521" s="5"/>
    </row>
    <row r="1522" spans="1:10" ht="13.5" customHeight="1" x14ac:dyDescent="0.2">
      <c r="A1522" s="63">
        <v>56101532</v>
      </c>
      <c r="B1522" s="64" t="str">
        <f ca="1">IFERROR(INDEX(UNSPSCDes,MATCH(INDIRECT(ADDRESS(ROW(),COLUMN()-1,4)),UNSPSCCode,0)),"")</f>
        <v>Set de muebles</v>
      </c>
      <c r="C1522" s="63" t="s">
        <v>1449</v>
      </c>
      <c r="D1522" s="63">
        <v>1</v>
      </c>
      <c r="E1522" s="66">
        <v>250000</v>
      </c>
      <c r="F1522" s="65">
        <f ca="1">INDIRECT(ADDRESS(ROW(),COLUMN()-2,4))*INDIRECT(ADDRESS(ROW(),COLUMN()-1,4))</f>
        <v>250000</v>
      </c>
      <c r="G1522" s="5"/>
      <c r="H1522" s="5"/>
      <c r="I1522" s="5"/>
      <c r="J1522" s="5"/>
    </row>
    <row r="1523" spans="1:10" ht="14.1" customHeight="1" x14ac:dyDescent="0.2">
      <c r="A1523" s="5"/>
      <c r="B1523" s="5"/>
      <c r="C1523" s="5"/>
      <c r="D1523" s="5"/>
      <c r="E1523" s="68" t="s">
        <v>12549</v>
      </c>
      <c r="F1523" s="69">
        <f ca="1">SUM(Table3138[MONTO TOTAL ESTIMADO])</f>
        <v>250000</v>
      </c>
      <c r="G1523" s="5"/>
      <c r="H1523" s="5" t="str">
        <f>C1515</f>
        <v>Bienes</v>
      </c>
      <c r="I1523" s="5" t="str">
        <f>E1515</f>
        <v>Sí</v>
      </c>
      <c r="J1523" s="5" t="str">
        <f>D1515</f>
        <v>Compras Menores</v>
      </c>
    </row>
    <row r="1524" spans="1:10" ht="14.1" customHeight="1" thickBot="1" x14ac:dyDescent="0.3"/>
    <row r="1525" spans="1:10" ht="33.75" customHeight="1" thickBot="1" x14ac:dyDescent="0.25">
      <c r="A1525" s="59" t="s">
        <v>16382</v>
      </c>
      <c r="B1525" s="59" t="s">
        <v>161</v>
      </c>
      <c r="C1525" s="59" t="s">
        <v>11723</v>
      </c>
      <c r="D1525" s="59" t="s">
        <v>14377</v>
      </c>
      <c r="E1525" s="59" t="s">
        <v>10961</v>
      </c>
      <c r="F1525" s="59" t="s">
        <v>11094</v>
      </c>
      <c r="G1525" s="5"/>
      <c r="H1525" s="5"/>
      <c r="I1525" s="5"/>
      <c r="J1525" s="5"/>
    </row>
    <row r="1526" spans="1:10" ht="14.1" customHeight="1" thickBot="1" x14ac:dyDescent="0.25">
      <c r="A1526" s="61" t="s">
        <v>18910</v>
      </c>
      <c r="B1526" s="61" t="s">
        <v>18911</v>
      </c>
      <c r="C1526" s="61" t="s">
        <v>17798</v>
      </c>
      <c r="D1526" s="61" t="s">
        <v>17483</v>
      </c>
      <c r="E1526" s="61" t="s">
        <v>8854</v>
      </c>
      <c r="F1526" s="61"/>
      <c r="G1526" s="5"/>
      <c r="H1526" s="5"/>
      <c r="I1526" s="5"/>
      <c r="J1526" s="5"/>
    </row>
    <row r="1527" spans="1:10" ht="14.1" customHeight="1" thickBot="1" x14ac:dyDescent="0.25">
      <c r="A1527" s="82" t="s">
        <v>14828</v>
      </c>
      <c r="B1527" s="62" t="s">
        <v>8528</v>
      </c>
      <c r="C1527" s="71">
        <v>44378</v>
      </c>
      <c r="D1527" s="82" t="s">
        <v>9385</v>
      </c>
      <c r="E1527" s="62" t="s">
        <v>13092</v>
      </c>
      <c r="F1527" s="61" t="s">
        <v>3080</v>
      </c>
      <c r="G1527" s="5"/>
      <c r="H1527" s="5"/>
      <c r="I1527" s="5"/>
      <c r="J1527" s="5"/>
    </row>
    <row r="1528" spans="1:10" ht="14.1" customHeight="1" thickBot="1" x14ac:dyDescent="0.25">
      <c r="A1528" s="83"/>
      <c r="B1528" s="62" t="s">
        <v>1786</v>
      </c>
      <c r="C1528" s="60">
        <f>IF(C1527="","",IF(AND(MONTH(C1527)&gt;=1,MONTH(C1527)&lt;=3),1,IF(AND(MONTH(C1527)&gt;=4,MONTH(C1527)&lt;=6),2,IF(AND(MONTH(C1527)&gt;=7,MONTH(C1527)&lt;=9),3,4))))</f>
        <v>3</v>
      </c>
      <c r="D1528" s="83"/>
      <c r="E1528" s="62" t="s">
        <v>2417</v>
      </c>
      <c r="F1528" s="61" t="s">
        <v>11111</v>
      </c>
      <c r="G1528" s="5"/>
      <c r="H1528" s="5"/>
      <c r="I1528" s="5"/>
      <c r="J1528" s="5"/>
    </row>
    <row r="1529" spans="1:10" ht="14.1" customHeight="1" thickBot="1" x14ac:dyDescent="0.25">
      <c r="A1529" s="83"/>
      <c r="B1529" s="62" t="s">
        <v>12941</v>
      </c>
      <c r="C1529" s="71">
        <v>44379</v>
      </c>
      <c r="D1529" s="83"/>
      <c r="E1529" s="62" t="s">
        <v>3073</v>
      </c>
      <c r="F1529" s="61" t="s">
        <v>11111</v>
      </c>
      <c r="G1529" s="5"/>
      <c r="H1529" s="5"/>
      <c r="I1529" s="5"/>
      <c r="J1529" s="5"/>
    </row>
    <row r="1530" spans="1:10" ht="14.1" customHeight="1" thickBot="1" x14ac:dyDescent="0.25">
      <c r="A1530" s="83"/>
      <c r="B1530" s="62" t="s">
        <v>1786</v>
      </c>
      <c r="C1530" s="60">
        <f>IF(C1529="","",IF(AND(MONTH(C1529)&gt;=1,MONTH(C1529)&lt;=3),1,IF(AND(MONTH(C1529)&gt;=4,MONTH(C1529)&lt;=6),2,IF(AND(MONTH(C1529)&gt;=7,MONTH(C1529)&lt;=9),3,4))))</f>
        <v>3</v>
      </c>
      <c r="D1530" s="83"/>
      <c r="E1530" s="62" t="s">
        <v>13191</v>
      </c>
      <c r="F1530" s="61" t="s">
        <v>11111</v>
      </c>
      <c r="G1530" s="5"/>
      <c r="H1530" s="5"/>
      <c r="I1530" s="5"/>
      <c r="J1530" s="5"/>
    </row>
    <row r="1531" spans="1:10" ht="14.1" customHeight="1" thickBot="1" x14ac:dyDescent="0.25">
      <c r="A1531" s="5"/>
      <c r="B1531" s="5"/>
      <c r="C1531" s="5"/>
      <c r="D1531" s="5"/>
      <c r="E1531" s="5"/>
      <c r="F1531" s="5"/>
      <c r="G1531" s="5"/>
      <c r="H1531" s="5"/>
      <c r="I1531" s="5"/>
      <c r="J1531" s="5"/>
    </row>
    <row r="1532" spans="1:10" ht="14.1" customHeight="1" thickBot="1" x14ac:dyDescent="0.25">
      <c r="A1532" s="67" t="s">
        <v>15735</v>
      </c>
      <c r="B1532" s="67" t="s">
        <v>16146</v>
      </c>
      <c r="C1532" s="67" t="s">
        <v>15641</v>
      </c>
      <c r="D1532" s="67" t="s">
        <v>15251</v>
      </c>
      <c r="E1532" s="67" t="s">
        <v>6932</v>
      </c>
      <c r="F1532" s="67" t="s">
        <v>15280</v>
      </c>
      <c r="G1532" s="5"/>
      <c r="H1532" s="5"/>
      <c r="I1532" s="5"/>
      <c r="J1532" s="5"/>
    </row>
    <row r="1533" spans="1:10" ht="13.5" customHeight="1" x14ac:dyDescent="0.2">
      <c r="A1533" s="63">
        <v>56101532</v>
      </c>
      <c r="B1533" s="64" t="str">
        <f ca="1">IFERROR(INDEX(UNSPSCDes,MATCH(INDIRECT(ADDRESS(ROW(),COLUMN()-1,4)),UNSPSCCode,0)),"")</f>
        <v>Set de muebles</v>
      </c>
      <c r="C1533" s="63" t="s">
        <v>1449</v>
      </c>
      <c r="D1533" s="63">
        <v>1</v>
      </c>
      <c r="E1533" s="66">
        <v>250000</v>
      </c>
      <c r="F1533" s="65">
        <f ca="1">INDIRECT(ADDRESS(ROW(),COLUMN()-2,4))*INDIRECT(ADDRESS(ROW(),COLUMN()-1,4))</f>
        <v>250000</v>
      </c>
      <c r="G1533" s="5"/>
      <c r="H1533" s="5"/>
      <c r="I1533" s="5"/>
      <c r="J1533" s="5"/>
    </row>
    <row r="1534" spans="1:10" ht="14.1" customHeight="1" x14ac:dyDescent="0.2">
      <c r="A1534" s="5"/>
      <c r="B1534" s="5"/>
      <c r="C1534" s="5"/>
      <c r="D1534" s="5"/>
      <c r="E1534" s="68" t="s">
        <v>12549</v>
      </c>
      <c r="F1534" s="69">
        <f ca="1">SUM(Table3139[MONTO TOTAL ESTIMADO])</f>
        <v>250000</v>
      </c>
      <c r="G1534" s="5"/>
      <c r="H1534" s="5" t="str">
        <f>C1526</f>
        <v>Bienes</v>
      </c>
      <c r="I1534" s="5" t="str">
        <f>E1526</f>
        <v>Sí</v>
      </c>
      <c r="J1534" s="5" t="str">
        <f>D1526</f>
        <v>Compras Menores</v>
      </c>
    </row>
    <row r="1535" spans="1:10" ht="14.1" customHeight="1" thickBot="1" x14ac:dyDescent="0.3"/>
    <row r="1536" spans="1:10" ht="33.75" customHeight="1" thickBot="1" x14ac:dyDescent="0.25">
      <c r="A1536" s="59" t="s">
        <v>16382</v>
      </c>
      <c r="B1536" s="59" t="s">
        <v>161</v>
      </c>
      <c r="C1536" s="59" t="s">
        <v>11723</v>
      </c>
      <c r="D1536" s="59" t="s">
        <v>14377</v>
      </c>
      <c r="E1536" s="59" t="s">
        <v>10961</v>
      </c>
      <c r="F1536" s="59" t="s">
        <v>11094</v>
      </c>
      <c r="G1536" s="5"/>
      <c r="H1536" s="5"/>
      <c r="I1536" s="5"/>
      <c r="J1536" s="5"/>
    </row>
    <row r="1537" spans="1:10" ht="14.1" customHeight="1" thickBot="1" x14ac:dyDescent="0.25">
      <c r="A1537" s="61" t="s">
        <v>18910</v>
      </c>
      <c r="B1537" s="61" t="s">
        <v>18911</v>
      </c>
      <c r="C1537" s="61" t="s">
        <v>17798</v>
      </c>
      <c r="D1537" s="61" t="s">
        <v>17483</v>
      </c>
      <c r="E1537" s="61" t="s">
        <v>8854</v>
      </c>
      <c r="F1537" s="61"/>
      <c r="G1537" s="5"/>
      <c r="H1537" s="5"/>
      <c r="I1537" s="5"/>
      <c r="J1537" s="5"/>
    </row>
    <row r="1538" spans="1:10" ht="14.1" customHeight="1" thickBot="1" x14ac:dyDescent="0.25">
      <c r="A1538" s="82" t="s">
        <v>14828</v>
      </c>
      <c r="B1538" s="62" t="s">
        <v>8528</v>
      </c>
      <c r="C1538" s="71">
        <v>44470</v>
      </c>
      <c r="D1538" s="82" t="s">
        <v>9385</v>
      </c>
      <c r="E1538" s="62" t="s">
        <v>13092</v>
      </c>
      <c r="F1538" s="61" t="s">
        <v>3080</v>
      </c>
      <c r="G1538" s="5"/>
      <c r="H1538" s="5"/>
      <c r="I1538" s="5"/>
      <c r="J1538" s="5"/>
    </row>
    <row r="1539" spans="1:10" ht="14.1" customHeight="1" thickBot="1" x14ac:dyDescent="0.25">
      <c r="A1539" s="83"/>
      <c r="B1539" s="62" t="s">
        <v>1786</v>
      </c>
      <c r="C1539" s="60">
        <f>IF(C1538="","",IF(AND(MONTH(C1538)&gt;=1,MONTH(C1538)&lt;=3),1,IF(AND(MONTH(C1538)&gt;=4,MONTH(C1538)&lt;=6),2,IF(AND(MONTH(C1538)&gt;=7,MONTH(C1538)&lt;=9),3,4))))</f>
        <v>4</v>
      </c>
      <c r="D1539" s="83"/>
      <c r="E1539" s="62" t="s">
        <v>2417</v>
      </c>
      <c r="F1539" s="61" t="s">
        <v>11111</v>
      </c>
      <c r="G1539" s="5"/>
      <c r="H1539" s="5"/>
      <c r="I1539" s="5"/>
      <c r="J1539" s="5"/>
    </row>
    <row r="1540" spans="1:10" ht="14.1" customHeight="1" thickBot="1" x14ac:dyDescent="0.25">
      <c r="A1540" s="83"/>
      <c r="B1540" s="62" t="s">
        <v>12941</v>
      </c>
      <c r="C1540" s="71">
        <v>44473</v>
      </c>
      <c r="D1540" s="83"/>
      <c r="E1540" s="62" t="s">
        <v>3073</v>
      </c>
      <c r="F1540" s="61" t="s">
        <v>11111</v>
      </c>
      <c r="G1540" s="5"/>
      <c r="H1540" s="5"/>
      <c r="I1540" s="5"/>
      <c r="J1540" s="5"/>
    </row>
    <row r="1541" spans="1:10" ht="14.1" customHeight="1" thickBot="1" x14ac:dyDescent="0.25">
      <c r="A1541" s="83"/>
      <c r="B1541" s="62" t="s">
        <v>1786</v>
      </c>
      <c r="C1541" s="60">
        <f>IF(C1540="","",IF(AND(MONTH(C1540)&gt;=1,MONTH(C1540)&lt;=3),1,IF(AND(MONTH(C1540)&gt;=4,MONTH(C1540)&lt;=6),2,IF(AND(MONTH(C1540)&gt;=7,MONTH(C1540)&lt;=9),3,4))))</f>
        <v>4</v>
      </c>
      <c r="D1541" s="83"/>
      <c r="E1541" s="62" t="s">
        <v>13191</v>
      </c>
      <c r="F1541" s="61" t="s">
        <v>11111</v>
      </c>
      <c r="G1541" s="5"/>
      <c r="H1541" s="5"/>
      <c r="I1541" s="5"/>
      <c r="J1541" s="5"/>
    </row>
    <row r="1542" spans="1:10" ht="14.1" customHeight="1" thickBot="1" x14ac:dyDescent="0.25">
      <c r="A1542" s="5"/>
      <c r="B1542" s="5"/>
      <c r="C1542" s="5"/>
      <c r="D1542" s="5"/>
      <c r="E1542" s="5"/>
      <c r="F1542" s="5"/>
      <c r="G1542" s="5"/>
      <c r="H1542" s="5"/>
      <c r="I1542" s="5"/>
      <c r="J1542" s="5"/>
    </row>
    <row r="1543" spans="1:10" ht="14.1" customHeight="1" thickBot="1" x14ac:dyDescent="0.25">
      <c r="A1543" s="67" t="s">
        <v>15735</v>
      </c>
      <c r="B1543" s="67" t="s">
        <v>16146</v>
      </c>
      <c r="C1543" s="67" t="s">
        <v>15641</v>
      </c>
      <c r="D1543" s="67" t="s">
        <v>15251</v>
      </c>
      <c r="E1543" s="67" t="s">
        <v>6932</v>
      </c>
      <c r="F1543" s="67" t="s">
        <v>15280</v>
      </c>
      <c r="G1543" s="5"/>
      <c r="H1543" s="5"/>
      <c r="I1543" s="5"/>
      <c r="J1543" s="5"/>
    </row>
    <row r="1544" spans="1:10" ht="13.5" customHeight="1" x14ac:dyDescent="0.2">
      <c r="A1544" s="63">
        <v>56101532</v>
      </c>
      <c r="B1544" s="64" t="str">
        <f ca="1">IFERROR(INDEX(UNSPSCDes,MATCH(INDIRECT(ADDRESS(ROW(),COLUMN()-1,4)),UNSPSCCode,0)),"")</f>
        <v>Set de muebles</v>
      </c>
      <c r="C1544" s="63" t="s">
        <v>1449</v>
      </c>
      <c r="D1544" s="63">
        <v>1</v>
      </c>
      <c r="E1544" s="66">
        <v>250000</v>
      </c>
      <c r="F1544" s="65">
        <f ca="1">INDIRECT(ADDRESS(ROW(),COLUMN()-2,4))*INDIRECT(ADDRESS(ROW(),COLUMN()-1,4))</f>
        <v>250000</v>
      </c>
      <c r="G1544" s="5"/>
      <c r="H1544" s="5"/>
      <c r="I1544" s="5"/>
      <c r="J1544" s="5"/>
    </row>
    <row r="1545" spans="1:10" ht="14.1" customHeight="1" x14ac:dyDescent="0.2">
      <c r="A1545" s="5"/>
      <c r="B1545" s="5"/>
      <c r="C1545" s="5"/>
      <c r="D1545" s="5"/>
      <c r="E1545" s="68" t="s">
        <v>12549</v>
      </c>
      <c r="F1545" s="69">
        <f ca="1">SUM(Table3140[MONTO TOTAL ESTIMADO])</f>
        <v>250000</v>
      </c>
      <c r="G1545" s="5"/>
      <c r="H1545" s="5" t="str">
        <f>C1537</f>
        <v>Bienes</v>
      </c>
      <c r="I1545" s="5" t="str">
        <f>E1537</f>
        <v>Sí</v>
      </c>
      <c r="J1545" s="5" t="str">
        <f>D1537</f>
        <v>Compras Menores</v>
      </c>
    </row>
    <row r="1546" spans="1:10" ht="14.1" customHeight="1" thickBot="1" x14ac:dyDescent="0.3"/>
    <row r="1547" spans="1:10" ht="33.75" customHeight="1" thickBot="1" x14ac:dyDescent="0.25">
      <c r="A1547" s="59" t="s">
        <v>16382</v>
      </c>
      <c r="B1547" s="59" t="s">
        <v>161</v>
      </c>
      <c r="C1547" s="59" t="s">
        <v>11723</v>
      </c>
      <c r="D1547" s="59" t="s">
        <v>14377</v>
      </c>
      <c r="E1547" s="59" t="s">
        <v>10961</v>
      </c>
      <c r="F1547" s="59" t="s">
        <v>11094</v>
      </c>
      <c r="G1547" s="5"/>
      <c r="H1547" s="5"/>
      <c r="I1547" s="5"/>
      <c r="J1547" s="5"/>
    </row>
    <row r="1548" spans="1:10" ht="14.1" customHeight="1" thickBot="1" x14ac:dyDescent="0.25">
      <c r="A1548" s="61" t="s">
        <v>18912</v>
      </c>
      <c r="B1548" s="61" t="s">
        <v>18913</v>
      </c>
      <c r="C1548" s="61" t="s">
        <v>17798</v>
      </c>
      <c r="D1548" s="61" t="s">
        <v>1875</v>
      </c>
      <c r="E1548" s="61" t="s">
        <v>17854</v>
      </c>
      <c r="F1548" s="61"/>
      <c r="G1548" s="5"/>
      <c r="H1548" s="5"/>
      <c r="I1548" s="5"/>
      <c r="J1548" s="5"/>
    </row>
    <row r="1549" spans="1:10" ht="14.1" customHeight="1" thickBot="1" x14ac:dyDescent="0.25">
      <c r="A1549" s="82" t="s">
        <v>14828</v>
      </c>
      <c r="B1549" s="62" t="s">
        <v>8528</v>
      </c>
      <c r="C1549" s="71">
        <v>44197</v>
      </c>
      <c r="D1549" s="82" t="s">
        <v>9385</v>
      </c>
      <c r="E1549" s="62" t="s">
        <v>13092</v>
      </c>
      <c r="F1549" s="61" t="s">
        <v>3080</v>
      </c>
      <c r="G1549" s="5"/>
      <c r="H1549" s="5"/>
      <c r="I1549" s="5"/>
      <c r="J1549" s="5"/>
    </row>
    <row r="1550" spans="1:10" ht="14.1" customHeight="1" thickBot="1" x14ac:dyDescent="0.25">
      <c r="A1550" s="83"/>
      <c r="B1550" s="62" t="s">
        <v>1786</v>
      </c>
      <c r="C1550" s="60">
        <f>IF(C1549="","",IF(AND(MONTH(C1549)&gt;=1,MONTH(C1549)&lt;=3),1,IF(AND(MONTH(C1549)&gt;=4,MONTH(C1549)&lt;=6),2,IF(AND(MONTH(C1549)&gt;=7,MONTH(C1549)&lt;=9),3,4))))</f>
        <v>1</v>
      </c>
      <c r="D1550" s="83"/>
      <c r="E1550" s="62" t="s">
        <v>2417</v>
      </c>
      <c r="F1550" s="61" t="s">
        <v>11111</v>
      </c>
      <c r="G1550" s="5"/>
      <c r="H1550" s="5"/>
      <c r="I1550" s="5"/>
      <c r="J1550" s="5"/>
    </row>
    <row r="1551" spans="1:10" ht="14.1" customHeight="1" thickBot="1" x14ac:dyDescent="0.25">
      <c r="A1551" s="83"/>
      <c r="B1551" s="62" t="s">
        <v>12941</v>
      </c>
      <c r="C1551" s="71">
        <v>44211</v>
      </c>
      <c r="D1551" s="83"/>
      <c r="E1551" s="62" t="s">
        <v>3073</v>
      </c>
      <c r="F1551" s="61" t="s">
        <v>11111</v>
      </c>
      <c r="G1551" s="5"/>
      <c r="H1551" s="5"/>
      <c r="I1551" s="5"/>
      <c r="J1551" s="5"/>
    </row>
    <row r="1552" spans="1:10" ht="14.1" customHeight="1" thickBot="1" x14ac:dyDescent="0.25">
      <c r="A1552" s="83"/>
      <c r="B1552" s="62" t="s">
        <v>1786</v>
      </c>
      <c r="C1552" s="60">
        <f>IF(C1551="","",IF(AND(MONTH(C1551)&gt;=1,MONTH(C1551)&lt;=3),1,IF(AND(MONTH(C1551)&gt;=4,MONTH(C1551)&lt;=6),2,IF(AND(MONTH(C1551)&gt;=7,MONTH(C1551)&lt;=9),3,4))))</f>
        <v>1</v>
      </c>
      <c r="D1552" s="83"/>
      <c r="E1552" s="62" t="s">
        <v>13191</v>
      </c>
      <c r="F1552" s="61" t="s">
        <v>11111</v>
      </c>
      <c r="G1552" s="5"/>
      <c r="H1552" s="5"/>
      <c r="I1552" s="5"/>
      <c r="J1552" s="5"/>
    </row>
    <row r="1553" spans="1:10" ht="14.1" customHeight="1" thickBot="1" x14ac:dyDescent="0.25">
      <c r="A1553" s="5"/>
      <c r="B1553" s="5"/>
      <c r="C1553" s="5"/>
      <c r="D1553" s="5"/>
      <c r="E1553" s="5"/>
      <c r="F1553" s="5"/>
      <c r="G1553" s="5"/>
      <c r="H1553" s="5"/>
      <c r="I1553" s="5"/>
      <c r="J1553" s="5"/>
    </row>
    <row r="1554" spans="1:10" ht="14.1" customHeight="1" thickBot="1" x14ac:dyDescent="0.25">
      <c r="A1554" s="67" t="s">
        <v>15735</v>
      </c>
      <c r="B1554" s="67" t="s">
        <v>16146</v>
      </c>
      <c r="C1554" s="67" t="s">
        <v>15641</v>
      </c>
      <c r="D1554" s="67" t="s">
        <v>15251</v>
      </c>
      <c r="E1554" s="67" t="s">
        <v>6932</v>
      </c>
      <c r="F1554" s="67" t="s">
        <v>15280</v>
      </c>
      <c r="G1554" s="5"/>
      <c r="H1554" s="5"/>
      <c r="I1554" s="5"/>
      <c r="J1554" s="5"/>
    </row>
    <row r="1555" spans="1:10" ht="13.5" customHeight="1" x14ac:dyDescent="0.2">
      <c r="A1555" s="63">
        <v>43201803</v>
      </c>
      <c r="B1555" s="64" t="str">
        <f ca="1">IFERROR(INDEX(UNSPSCDes,MATCH(INDIRECT(ADDRESS(ROW(),COLUMN()-1,4)),UNSPSCCode,0)),"")</f>
        <v>Unidades de disco duro</v>
      </c>
      <c r="C1555" s="63" t="s">
        <v>1449</v>
      </c>
      <c r="D1555" s="63">
        <v>15</v>
      </c>
      <c r="E1555" s="66">
        <v>4600</v>
      </c>
      <c r="F1555" s="65">
        <f ca="1">INDIRECT(ADDRESS(ROW(),COLUMN()-2,4))*INDIRECT(ADDRESS(ROW(),COLUMN()-1,4))</f>
        <v>69000</v>
      </c>
      <c r="G1555" s="5"/>
      <c r="H1555" s="5"/>
      <c r="I1555" s="5"/>
      <c r="J1555" s="5"/>
    </row>
    <row r="1556" spans="1:10" ht="13.5" customHeight="1" x14ac:dyDescent="0.2">
      <c r="A1556" s="77">
        <v>43211508</v>
      </c>
      <c r="B1556" s="64" t="str">
        <f ca="1">IFERROR(INDEX(UNSPSCDes,MATCH(INDIRECT(ADDRESS(ROW(),COLUMN()-1,4)),UNSPSCCode,0)),"")</f>
        <v>Computadores personales</v>
      </c>
      <c r="C1556" s="63" t="s">
        <v>1449</v>
      </c>
      <c r="D1556" s="63">
        <v>16</v>
      </c>
      <c r="E1556" s="66">
        <v>65000</v>
      </c>
      <c r="F1556" s="65">
        <f ca="1">INDIRECT(ADDRESS(ROW(),COLUMN()-2,4))*INDIRECT(ADDRESS(ROW(),COLUMN()-1,4))</f>
        <v>1040000</v>
      </c>
      <c r="G1556" s="5"/>
      <c r="H1556" s="5"/>
      <c r="I1556" s="5"/>
      <c r="J1556" s="5"/>
    </row>
    <row r="1557" spans="1:10" ht="14.1" customHeight="1" x14ac:dyDescent="0.2">
      <c r="A1557" s="5"/>
      <c r="B1557" s="5"/>
      <c r="C1557" s="5"/>
      <c r="D1557" s="5"/>
      <c r="E1557" s="68" t="s">
        <v>12549</v>
      </c>
      <c r="F1557" s="69">
        <f ca="1">SUM(Table3141[MONTO TOTAL ESTIMADO])</f>
        <v>1109000</v>
      </c>
      <c r="G1557" s="5"/>
      <c r="H1557" s="5" t="str">
        <f>C1548</f>
        <v>Bienes</v>
      </c>
      <c r="I1557" s="5" t="str">
        <f>E1548</f>
        <v>No</v>
      </c>
      <c r="J1557" s="5" t="str">
        <f>D1548</f>
        <v>Comparacion de Precios</v>
      </c>
    </row>
    <row r="1558" spans="1:10" ht="14.1" customHeight="1" thickBot="1" x14ac:dyDescent="0.3"/>
    <row r="1559" spans="1:10" ht="33.75" customHeight="1" thickBot="1" x14ac:dyDescent="0.25">
      <c r="A1559" s="59" t="s">
        <v>16382</v>
      </c>
      <c r="B1559" s="59" t="s">
        <v>161</v>
      </c>
      <c r="C1559" s="59" t="s">
        <v>11723</v>
      </c>
      <c r="D1559" s="59" t="s">
        <v>14377</v>
      </c>
      <c r="E1559" s="59" t="s">
        <v>10961</v>
      </c>
      <c r="F1559" s="59" t="s">
        <v>11094</v>
      </c>
      <c r="G1559" s="5"/>
      <c r="H1559" s="5"/>
      <c r="I1559" s="5"/>
      <c r="J1559" s="5"/>
    </row>
    <row r="1560" spans="1:10" ht="14.1" customHeight="1" thickBot="1" x14ac:dyDescent="0.25">
      <c r="A1560" s="61" t="s">
        <v>18912</v>
      </c>
      <c r="B1560" s="61" t="s">
        <v>18913</v>
      </c>
      <c r="C1560" s="61" t="s">
        <v>17798</v>
      </c>
      <c r="D1560" s="61" t="s">
        <v>17483</v>
      </c>
      <c r="E1560" s="61" t="s">
        <v>17854</v>
      </c>
      <c r="F1560" s="61"/>
      <c r="G1560" s="5"/>
      <c r="H1560" s="5"/>
      <c r="I1560" s="5"/>
      <c r="J1560" s="5"/>
    </row>
    <row r="1561" spans="1:10" ht="14.1" customHeight="1" thickBot="1" x14ac:dyDescent="0.25">
      <c r="A1561" s="82" t="s">
        <v>14828</v>
      </c>
      <c r="B1561" s="62" t="s">
        <v>8528</v>
      </c>
      <c r="C1561" s="71">
        <v>44287</v>
      </c>
      <c r="D1561" s="82" t="s">
        <v>9385</v>
      </c>
      <c r="E1561" s="62" t="s">
        <v>13092</v>
      </c>
      <c r="F1561" s="61" t="s">
        <v>3080</v>
      </c>
      <c r="G1561" s="5"/>
      <c r="H1561" s="5"/>
      <c r="I1561" s="5"/>
      <c r="J1561" s="5"/>
    </row>
    <row r="1562" spans="1:10" ht="14.1" customHeight="1" thickBot="1" x14ac:dyDescent="0.25">
      <c r="A1562" s="83"/>
      <c r="B1562" s="62" t="s">
        <v>1786</v>
      </c>
      <c r="C1562" s="60">
        <f>IF(C1561="","",IF(AND(MONTH(C1561)&gt;=1,MONTH(C1561)&lt;=3),1,IF(AND(MONTH(C1561)&gt;=4,MONTH(C1561)&lt;=6),2,IF(AND(MONTH(C1561)&gt;=7,MONTH(C1561)&lt;=9),3,4))))</f>
        <v>2</v>
      </c>
      <c r="D1562" s="83"/>
      <c r="E1562" s="62" t="s">
        <v>2417</v>
      </c>
      <c r="F1562" s="61" t="s">
        <v>11111</v>
      </c>
      <c r="G1562" s="5"/>
      <c r="H1562" s="5"/>
      <c r="I1562" s="5"/>
      <c r="J1562" s="5"/>
    </row>
    <row r="1563" spans="1:10" ht="14.1" customHeight="1" thickBot="1" x14ac:dyDescent="0.25">
      <c r="A1563" s="83"/>
      <c r="B1563" s="62" t="s">
        <v>12941</v>
      </c>
      <c r="C1563" s="71">
        <v>44301</v>
      </c>
      <c r="D1563" s="83"/>
      <c r="E1563" s="62" t="s">
        <v>3073</v>
      </c>
      <c r="F1563" s="61" t="s">
        <v>11111</v>
      </c>
      <c r="G1563" s="5"/>
      <c r="H1563" s="5"/>
      <c r="I1563" s="5"/>
      <c r="J1563" s="5"/>
    </row>
    <row r="1564" spans="1:10" ht="14.1" customHeight="1" thickBot="1" x14ac:dyDescent="0.25">
      <c r="A1564" s="83"/>
      <c r="B1564" s="62" t="s">
        <v>1786</v>
      </c>
      <c r="C1564" s="60">
        <f>IF(C1563="","",IF(AND(MONTH(C1563)&gt;=1,MONTH(C1563)&lt;=3),1,IF(AND(MONTH(C1563)&gt;=4,MONTH(C1563)&lt;=6),2,IF(AND(MONTH(C1563)&gt;=7,MONTH(C1563)&lt;=9),3,4))))</f>
        <v>2</v>
      </c>
      <c r="D1564" s="83"/>
      <c r="E1564" s="62" t="s">
        <v>13191</v>
      </c>
      <c r="F1564" s="61" t="s">
        <v>11111</v>
      </c>
      <c r="G1564" s="5"/>
      <c r="H1564" s="5"/>
      <c r="I1564" s="5"/>
      <c r="J1564" s="5"/>
    </row>
    <row r="1565" spans="1:10" ht="14.1" customHeight="1" thickBot="1" x14ac:dyDescent="0.25">
      <c r="A1565" s="5"/>
      <c r="B1565" s="5"/>
      <c r="C1565" s="5"/>
      <c r="D1565" s="5"/>
      <c r="E1565" s="5"/>
      <c r="F1565" s="5"/>
      <c r="G1565" s="5"/>
      <c r="H1565" s="5"/>
      <c r="I1565" s="5"/>
      <c r="J1565" s="5"/>
    </row>
    <row r="1566" spans="1:10" ht="14.1" customHeight="1" thickBot="1" x14ac:dyDescent="0.25">
      <c r="A1566" s="67" t="s">
        <v>15735</v>
      </c>
      <c r="B1566" s="67" t="s">
        <v>16146</v>
      </c>
      <c r="C1566" s="67" t="s">
        <v>15641</v>
      </c>
      <c r="D1566" s="67" t="s">
        <v>15251</v>
      </c>
      <c r="E1566" s="67" t="s">
        <v>6932</v>
      </c>
      <c r="F1566" s="67" t="s">
        <v>15280</v>
      </c>
      <c r="G1566" s="5"/>
      <c r="H1566" s="5"/>
      <c r="I1566" s="5"/>
      <c r="J1566" s="5"/>
    </row>
    <row r="1567" spans="1:10" ht="13.5" customHeight="1" x14ac:dyDescent="0.2">
      <c r="A1567" s="63">
        <v>45121520</v>
      </c>
      <c r="B1567" s="64" t="str">
        <f t="shared" ref="B1567:B1572" ca="1" si="4">IFERROR(INDEX(UNSPSCDes,MATCH(INDIRECT(ADDRESS(ROW(),COLUMN()-1,4)),UNSPSCCode,0)),"")</f>
        <v>Cámaras de web</v>
      </c>
      <c r="C1567" s="63" t="s">
        <v>1449</v>
      </c>
      <c r="D1567" s="63">
        <v>50</v>
      </c>
      <c r="E1567" s="66">
        <v>2400</v>
      </c>
      <c r="F1567" s="65">
        <f t="shared" ref="F1567:F1572" ca="1" si="5">INDIRECT(ADDRESS(ROW(),COLUMN()-2,4))*INDIRECT(ADDRESS(ROW(),COLUMN()-1,4))</f>
        <v>120000</v>
      </c>
      <c r="G1567" s="5"/>
      <c r="H1567" s="5"/>
      <c r="I1567" s="5"/>
      <c r="J1567" s="5"/>
    </row>
    <row r="1568" spans="1:10" ht="13.5" customHeight="1" x14ac:dyDescent="0.2">
      <c r="A1568" s="77">
        <v>52161514</v>
      </c>
      <c r="B1568" s="64" t="str">
        <f t="shared" ca="1" si="4"/>
        <v>Audífonos</v>
      </c>
      <c r="C1568" s="63" t="s">
        <v>1449</v>
      </c>
      <c r="D1568" s="63">
        <v>30</v>
      </c>
      <c r="E1568" s="66">
        <v>3200</v>
      </c>
      <c r="F1568" s="65">
        <f t="shared" ca="1" si="5"/>
        <v>96000</v>
      </c>
      <c r="G1568" s="5"/>
      <c r="H1568" s="5"/>
      <c r="I1568" s="5"/>
      <c r="J1568" s="5"/>
    </row>
    <row r="1569" spans="1:10" ht="13.5" customHeight="1" x14ac:dyDescent="0.2">
      <c r="A1569" s="63">
        <v>43211903</v>
      </c>
      <c r="B1569" s="64" t="str">
        <f t="shared" ca="1" si="4"/>
        <v>Monitores de pantalla táctil (touch)</v>
      </c>
      <c r="C1569" s="63" t="s">
        <v>1449</v>
      </c>
      <c r="D1569" s="63">
        <v>5</v>
      </c>
      <c r="E1569" s="66">
        <v>11000</v>
      </c>
      <c r="F1569" s="65">
        <f t="shared" ca="1" si="5"/>
        <v>55000</v>
      </c>
      <c r="G1569" s="5"/>
      <c r="H1569" s="5"/>
      <c r="I1569" s="5"/>
      <c r="J1569" s="5"/>
    </row>
    <row r="1570" spans="1:10" ht="13.5" customHeight="1" x14ac:dyDescent="0.2">
      <c r="A1570" s="77">
        <v>32101603</v>
      </c>
      <c r="B1570" s="64" t="str">
        <f t="shared" ca="1" si="4"/>
        <v>Memoria ram estática (sram)</v>
      </c>
      <c r="C1570" s="63" t="s">
        <v>1449</v>
      </c>
      <c r="D1570" s="63">
        <v>1</v>
      </c>
      <c r="E1570" s="66">
        <v>15000</v>
      </c>
      <c r="F1570" s="65">
        <f t="shared" ca="1" si="5"/>
        <v>15000</v>
      </c>
      <c r="G1570" s="5"/>
      <c r="H1570" s="5"/>
      <c r="I1570" s="5"/>
      <c r="J1570" s="5"/>
    </row>
    <row r="1571" spans="1:10" ht="13.5" customHeight="1" x14ac:dyDescent="0.2">
      <c r="A1571" s="63">
        <v>43222608</v>
      </c>
      <c r="B1571" s="64" t="str">
        <f t="shared" ca="1" si="4"/>
        <v>Repetidores de red</v>
      </c>
      <c r="C1571" s="63" t="s">
        <v>1449</v>
      </c>
      <c r="D1571" s="63">
        <v>1</v>
      </c>
      <c r="E1571" s="66">
        <v>24000</v>
      </c>
      <c r="F1571" s="65">
        <f t="shared" ca="1" si="5"/>
        <v>24000</v>
      </c>
      <c r="G1571" s="5"/>
      <c r="H1571" s="5"/>
      <c r="I1571" s="5"/>
      <c r="J1571" s="5"/>
    </row>
    <row r="1572" spans="1:10" ht="13.5" customHeight="1" x14ac:dyDescent="0.2">
      <c r="A1572" s="77">
        <v>43222501</v>
      </c>
      <c r="B1572" s="64" t="str">
        <f t="shared" ca="1" si="4"/>
        <v>Equipo de seguridad de red cortafuegos (firewall)</v>
      </c>
      <c r="C1572" s="63" t="s">
        <v>1449</v>
      </c>
      <c r="D1572" s="63">
        <v>1</v>
      </c>
      <c r="E1572" s="66">
        <v>39000</v>
      </c>
      <c r="F1572" s="65">
        <f t="shared" ca="1" si="5"/>
        <v>39000</v>
      </c>
      <c r="G1572" s="5"/>
      <c r="H1572" s="5"/>
      <c r="I1572" s="5"/>
      <c r="J1572" s="5"/>
    </row>
    <row r="1573" spans="1:10" ht="14.1" customHeight="1" x14ac:dyDescent="0.2">
      <c r="A1573" s="5"/>
      <c r="B1573" s="5"/>
      <c r="C1573" s="5"/>
      <c r="D1573" s="5"/>
      <c r="E1573" s="68" t="s">
        <v>12549</v>
      </c>
      <c r="F1573" s="69">
        <f ca="1">SUM(Table3142[MONTO TOTAL ESTIMADO])</f>
        <v>349000</v>
      </c>
      <c r="G1573" s="5"/>
      <c r="H1573" s="5" t="str">
        <f>C1560</f>
        <v>Bienes</v>
      </c>
      <c r="I1573" s="5" t="str">
        <f>E1560</f>
        <v>No</v>
      </c>
      <c r="J1573" s="5" t="str">
        <f>D1560</f>
        <v>Compras Menores</v>
      </c>
    </row>
    <row r="1574" spans="1:10" ht="14.1" customHeight="1" thickBot="1" x14ac:dyDescent="0.3"/>
    <row r="1575" spans="1:10" ht="33.75" customHeight="1" thickBot="1" x14ac:dyDescent="0.25">
      <c r="A1575" s="59" t="s">
        <v>16382</v>
      </c>
      <c r="B1575" s="59" t="s">
        <v>161</v>
      </c>
      <c r="C1575" s="59" t="s">
        <v>11723</v>
      </c>
      <c r="D1575" s="59" t="s">
        <v>14377</v>
      </c>
      <c r="E1575" s="59" t="s">
        <v>10961</v>
      </c>
      <c r="F1575" s="59" t="s">
        <v>11094</v>
      </c>
      <c r="G1575" s="5"/>
      <c r="H1575" s="5"/>
      <c r="I1575" s="5"/>
      <c r="J1575" s="5"/>
    </row>
    <row r="1576" spans="1:10" ht="14.1" customHeight="1" thickBot="1" x14ac:dyDescent="0.25">
      <c r="A1576" s="61" t="s">
        <v>18912</v>
      </c>
      <c r="B1576" s="61" t="s">
        <v>18913</v>
      </c>
      <c r="C1576" s="61" t="s">
        <v>17798</v>
      </c>
      <c r="D1576" s="61" t="s">
        <v>10170</v>
      </c>
      <c r="E1576" s="61" t="s">
        <v>17854</v>
      </c>
      <c r="F1576" s="61"/>
      <c r="G1576" s="5"/>
      <c r="H1576" s="5"/>
      <c r="I1576" s="5"/>
      <c r="J1576" s="5"/>
    </row>
    <row r="1577" spans="1:10" ht="14.1" customHeight="1" thickBot="1" x14ac:dyDescent="0.25">
      <c r="A1577" s="82" t="s">
        <v>14828</v>
      </c>
      <c r="B1577" s="62" t="s">
        <v>8528</v>
      </c>
      <c r="C1577" s="71">
        <v>44378</v>
      </c>
      <c r="D1577" s="82" t="s">
        <v>9385</v>
      </c>
      <c r="E1577" s="62" t="s">
        <v>13092</v>
      </c>
      <c r="F1577" s="61" t="s">
        <v>3080</v>
      </c>
      <c r="G1577" s="5"/>
      <c r="H1577" s="5"/>
      <c r="I1577" s="5"/>
      <c r="J1577" s="5"/>
    </row>
    <row r="1578" spans="1:10" ht="14.1" customHeight="1" thickBot="1" x14ac:dyDescent="0.25">
      <c r="A1578" s="83"/>
      <c r="B1578" s="62" t="s">
        <v>1786</v>
      </c>
      <c r="C1578" s="60">
        <f>IF(C1577="","",IF(AND(MONTH(C1577)&gt;=1,MONTH(C1577)&lt;=3),1,IF(AND(MONTH(C1577)&gt;=4,MONTH(C1577)&lt;=6),2,IF(AND(MONTH(C1577)&gt;=7,MONTH(C1577)&lt;=9),3,4))))</f>
        <v>3</v>
      </c>
      <c r="D1578" s="83"/>
      <c r="E1578" s="62" t="s">
        <v>2417</v>
      </c>
      <c r="F1578" s="61" t="s">
        <v>11111</v>
      </c>
      <c r="G1578" s="5"/>
      <c r="H1578" s="5"/>
      <c r="I1578" s="5"/>
      <c r="J1578" s="5"/>
    </row>
    <row r="1579" spans="1:10" ht="14.1" customHeight="1" thickBot="1" x14ac:dyDescent="0.25">
      <c r="A1579" s="83"/>
      <c r="B1579" s="62" t="s">
        <v>12941</v>
      </c>
      <c r="C1579" s="71">
        <v>44379</v>
      </c>
      <c r="D1579" s="83"/>
      <c r="E1579" s="62" t="s">
        <v>3073</v>
      </c>
      <c r="F1579" s="61" t="s">
        <v>11111</v>
      </c>
      <c r="G1579" s="5"/>
      <c r="H1579" s="5"/>
      <c r="I1579" s="5"/>
      <c r="J1579" s="5"/>
    </row>
    <row r="1580" spans="1:10" ht="14.1" customHeight="1" thickBot="1" x14ac:dyDescent="0.25">
      <c r="A1580" s="83"/>
      <c r="B1580" s="62" t="s">
        <v>1786</v>
      </c>
      <c r="C1580" s="60">
        <f>IF(C1579="","",IF(AND(MONTH(C1579)&gt;=1,MONTH(C1579)&lt;=3),1,IF(AND(MONTH(C1579)&gt;=4,MONTH(C1579)&lt;=6),2,IF(AND(MONTH(C1579)&gt;=7,MONTH(C1579)&lt;=9),3,4))))</f>
        <v>3</v>
      </c>
      <c r="D1580" s="83"/>
      <c r="E1580" s="62" t="s">
        <v>13191</v>
      </c>
      <c r="F1580" s="61" t="s">
        <v>11111</v>
      </c>
      <c r="G1580" s="5"/>
      <c r="H1580" s="5"/>
      <c r="I1580" s="5"/>
      <c r="J1580" s="5"/>
    </row>
    <row r="1581" spans="1:10" ht="14.1" customHeight="1" thickBot="1" x14ac:dyDescent="0.25">
      <c r="A1581" s="5"/>
      <c r="B1581" s="5"/>
      <c r="C1581" s="5"/>
      <c r="D1581" s="5"/>
      <c r="E1581" s="5"/>
      <c r="F1581" s="5"/>
      <c r="G1581" s="5"/>
      <c r="H1581" s="5"/>
      <c r="I1581" s="5"/>
      <c r="J1581" s="5"/>
    </row>
    <row r="1582" spans="1:10" ht="14.1" customHeight="1" thickBot="1" x14ac:dyDescent="0.25">
      <c r="A1582" s="67" t="s">
        <v>15735</v>
      </c>
      <c r="B1582" s="67" t="s">
        <v>16146</v>
      </c>
      <c r="C1582" s="67" t="s">
        <v>15641</v>
      </c>
      <c r="D1582" s="67" t="s">
        <v>15251</v>
      </c>
      <c r="E1582" s="67" t="s">
        <v>6932</v>
      </c>
      <c r="F1582" s="67" t="s">
        <v>15280</v>
      </c>
      <c r="G1582" s="5"/>
      <c r="H1582" s="5"/>
      <c r="I1582" s="5"/>
      <c r="J1582" s="5"/>
    </row>
    <row r="1583" spans="1:10" ht="13.5" customHeight="1" x14ac:dyDescent="0.2">
      <c r="A1583" s="63">
        <v>43211903</v>
      </c>
      <c r="B1583" s="64" t="str">
        <f ca="1">IFERROR(INDEX(UNSPSCDes,MATCH(INDIRECT(ADDRESS(ROW(),COLUMN()-1,4)),UNSPSCCode,0)),"")</f>
        <v>Monitores de pantalla táctil (touch)</v>
      </c>
      <c r="C1583" s="63" t="s">
        <v>1449</v>
      </c>
      <c r="D1583" s="63">
        <v>5</v>
      </c>
      <c r="E1583" s="66">
        <v>11000</v>
      </c>
      <c r="F1583" s="65">
        <f ca="1">INDIRECT(ADDRESS(ROW(),COLUMN()-2,4))*INDIRECT(ADDRESS(ROW(),COLUMN()-1,4))</f>
        <v>55000</v>
      </c>
      <c r="G1583" s="5"/>
      <c r="H1583" s="5"/>
      <c r="I1583" s="5"/>
      <c r="J1583" s="5"/>
    </row>
    <row r="1584" spans="1:10" ht="14.1" customHeight="1" x14ac:dyDescent="0.2">
      <c r="A1584" s="5"/>
      <c r="B1584" s="5"/>
      <c r="C1584" s="5"/>
      <c r="D1584" s="5"/>
      <c r="E1584" s="68" t="s">
        <v>12549</v>
      </c>
      <c r="F1584" s="69">
        <f ca="1">SUM(Table3143[MONTO TOTAL ESTIMADO])</f>
        <v>55000</v>
      </c>
      <c r="G1584" s="5"/>
      <c r="H1584" s="5" t="str">
        <f>C1576</f>
        <v>Bienes</v>
      </c>
      <c r="I1584" s="5" t="str">
        <f>E1576</f>
        <v>No</v>
      </c>
      <c r="J1584" s="5" t="str">
        <f>D1576</f>
        <v>Compras por debajo del Umbral</v>
      </c>
    </row>
    <row r="1585" spans="1:10" ht="14.1" customHeight="1" thickBot="1" x14ac:dyDescent="0.3"/>
    <row r="1586" spans="1:10" ht="33.75" customHeight="1" thickBot="1" x14ac:dyDescent="0.25">
      <c r="A1586" s="59" t="s">
        <v>16382</v>
      </c>
      <c r="B1586" s="59" t="s">
        <v>161</v>
      </c>
      <c r="C1586" s="59" t="s">
        <v>11723</v>
      </c>
      <c r="D1586" s="59" t="s">
        <v>14377</v>
      </c>
      <c r="E1586" s="59" t="s">
        <v>10961</v>
      </c>
      <c r="F1586" s="59" t="s">
        <v>11094</v>
      </c>
      <c r="G1586" s="5"/>
      <c r="H1586" s="5"/>
      <c r="I1586" s="5"/>
      <c r="J1586" s="5"/>
    </row>
    <row r="1587" spans="1:10" ht="14.1" customHeight="1" thickBot="1" x14ac:dyDescent="0.25">
      <c r="A1587" s="61" t="s">
        <v>18914</v>
      </c>
      <c r="B1587" s="61" t="s">
        <v>18915</v>
      </c>
      <c r="C1587" s="61" t="s">
        <v>17798</v>
      </c>
      <c r="D1587" s="61" t="s">
        <v>10170</v>
      </c>
      <c r="E1587" s="61" t="s">
        <v>8854</v>
      </c>
      <c r="F1587" s="61"/>
      <c r="G1587" s="5"/>
      <c r="H1587" s="5"/>
      <c r="I1587" s="5"/>
      <c r="J1587" s="5"/>
    </row>
    <row r="1588" spans="1:10" ht="14.1" customHeight="1" thickBot="1" x14ac:dyDescent="0.25">
      <c r="A1588" s="82" t="s">
        <v>14828</v>
      </c>
      <c r="B1588" s="62" t="s">
        <v>8528</v>
      </c>
      <c r="C1588" s="71">
        <v>44197</v>
      </c>
      <c r="D1588" s="82" t="s">
        <v>9385</v>
      </c>
      <c r="E1588" s="62" t="s">
        <v>13092</v>
      </c>
      <c r="F1588" s="61" t="s">
        <v>3080</v>
      </c>
      <c r="G1588" s="5"/>
      <c r="H1588" s="5"/>
      <c r="I1588" s="5"/>
      <c r="J1588" s="5"/>
    </row>
    <row r="1589" spans="1:10" ht="14.1" customHeight="1" thickBot="1" x14ac:dyDescent="0.25">
      <c r="A1589" s="83"/>
      <c r="B1589" s="62" t="s">
        <v>1786</v>
      </c>
      <c r="C1589" s="60">
        <f>IF(C1588="","",IF(AND(MONTH(C1588)&gt;=1,MONTH(C1588)&lt;=3),1,IF(AND(MONTH(C1588)&gt;=4,MONTH(C1588)&lt;=6),2,IF(AND(MONTH(C1588)&gt;=7,MONTH(C1588)&lt;=9),3,4))))</f>
        <v>1</v>
      </c>
      <c r="D1589" s="83"/>
      <c r="E1589" s="62" t="s">
        <v>2417</v>
      </c>
      <c r="F1589" s="61" t="s">
        <v>11111</v>
      </c>
      <c r="G1589" s="5"/>
      <c r="H1589" s="5"/>
      <c r="I1589" s="5"/>
      <c r="J1589" s="5"/>
    </row>
    <row r="1590" spans="1:10" ht="14.1" customHeight="1" thickBot="1" x14ac:dyDescent="0.25">
      <c r="A1590" s="83"/>
      <c r="B1590" s="62" t="s">
        <v>12941</v>
      </c>
      <c r="C1590" s="71">
        <v>44198</v>
      </c>
      <c r="D1590" s="83"/>
      <c r="E1590" s="62" t="s">
        <v>3073</v>
      </c>
      <c r="F1590" s="61" t="s">
        <v>11111</v>
      </c>
      <c r="G1590" s="5"/>
      <c r="H1590" s="5"/>
      <c r="I1590" s="5"/>
      <c r="J1590" s="5"/>
    </row>
    <row r="1591" spans="1:10" ht="14.1" customHeight="1" thickBot="1" x14ac:dyDescent="0.25">
      <c r="A1591" s="83"/>
      <c r="B1591" s="62" t="s">
        <v>1786</v>
      </c>
      <c r="C1591" s="60">
        <f>IF(C1590="","",IF(AND(MONTH(C1590)&gt;=1,MONTH(C1590)&lt;=3),1,IF(AND(MONTH(C1590)&gt;=4,MONTH(C1590)&lt;=6),2,IF(AND(MONTH(C1590)&gt;=7,MONTH(C1590)&lt;=9),3,4))))</f>
        <v>1</v>
      </c>
      <c r="D1591" s="83"/>
      <c r="E1591" s="62" t="s">
        <v>13191</v>
      </c>
      <c r="F1591" s="61" t="s">
        <v>11111</v>
      </c>
      <c r="G1591" s="5"/>
      <c r="H1591" s="5"/>
      <c r="I1591" s="5"/>
      <c r="J1591" s="5"/>
    </row>
    <row r="1592" spans="1:10" ht="14.1" customHeight="1" thickBot="1" x14ac:dyDescent="0.25">
      <c r="A1592" s="5"/>
      <c r="B1592" s="5"/>
      <c r="C1592" s="5"/>
      <c r="D1592" s="5"/>
      <c r="E1592" s="5"/>
      <c r="F1592" s="5"/>
      <c r="G1592" s="5"/>
      <c r="H1592" s="5"/>
      <c r="I1592" s="5"/>
      <c r="J1592" s="5"/>
    </row>
    <row r="1593" spans="1:10" ht="14.1" customHeight="1" thickBot="1" x14ac:dyDescent="0.25">
      <c r="A1593" s="67" t="s">
        <v>15735</v>
      </c>
      <c r="B1593" s="67" t="s">
        <v>16146</v>
      </c>
      <c r="C1593" s="67" t="s">
        <v>15641</v>
      </c>
      <c r="D1593" s="67" t="s">
        <v>15251</v>
      </c>
      <c r="E1593" s="67" t="s">
        <v>6932</v>
      </c>
      <c r="F1593" s="67" t="s">
        <v>15280</v>
      </c>
      <c r="G1593" s="5"/>
      <c r="H1593" s="5"/>
      <c r="I1593" s="5"/>
      <c r="J1593" s="5"/>
    </row>
    <row r="1594" spans="1:10" ht="13.5" customHeight="1" x14ac:dyDescent="0.2">
      <c r="A1594" s="63">
        <v>39121311</v>
      </c>
      <c r="B1594" s="64" t="str">
        <f ca="1">IFERROR(INDEX(UNSPSCDes,MATCH(INDIRECT(ADDRESS(ROW(),COLUMN()-1,4)),UNSPSCCode,0)),"")</f>
        <v>Accesorios eléctricos</v>
      </c>
      <c r="C1594" s="63" t="s">
        <v>1449</v>
      </c>
      <c r="D1594" s="63">
        <v>1</v>
      </c>
      <c r="E1594" s="66">
        <v>50000</v>
      </c>
      <c r="F1594" s="65">
        <f ca="1">INDIRECT(ADDRESS(ROW(),COLUMN()-2,4))*INDIRECT(ADDRESS(ROW(),COLUMN()-1,4))</f>
        <v>50000</v>
      </c>
      <c r="G1594" s="5"/>
      <c r="H1594" s="5"/>
      <c r="I1594" s="5"/>
      <c r="J1594" s="5"/>
    </row>
    <row r="1595" spans="1:10" ht="14.1" customHeight="1" x14ac:dyDescent="0.2">
      <c r="A1595" s="5"/>
      <c r="B1595" s="5"/>
      <c r="C1595" s="5"/>
      <c r="D1595" s="5"/>
      <c r="E1595" s="68" t="s">
        <v>12549</v>
      </c>
      <c r="F1595" s="69">
        <f ca="1">SUM(Table3144[MONTO TOTAL ESTIMADO])</f>
        <v>50000</v>
      </c>
      <c r="G1595" s="5"/>
      <c r="H1595" s="5" t="str">
        <f>C1587</f>
        <v>Bienes</v>
      </c>
      <c r="I1595" s="5" t="str">
        <f>E1587</f>
        <v>Sí</v>
      </c>
      <c r="J1595" s="5" t="str">
        <f>D1587</f>
        <v>Compras por debajo del Umbral</v>
      </c>
    </row>
    <row r="1596" spans="1:10" ht="14.1" customHeight="1" thickBot="1" x14ac:dyDescent="0.3"/>
    <row r="1597" spans="1:10" ht="33.75" customHeight="1" thickBot="1" x14ac:dyDescent="0.25">
      <c r="A1597" s="59" t="s">
        <v>16382</v>
      </c>
      <c r="B1597" s="59" t="s">
        <v>161</v>
      </c>
      <c r="C1597" s="59" t="s">
        <v>11723</v>
      </c>
      <c r="D1597" s="59" t="s">
        <v>14377</v>
      </c>
      <c r="E1597" s="59" t="s">
        <v>10961</v>
      </c>
      <c r="F1597" s="59" t="s">
        <v>11094</v>
      </c>
      <c r="G1597" s="5"/>
      <c r="H1597" s="5"/>
      <c r="I1597" s="5"/>
      <c r="J1597" s="5"/>
    </row>
    <row r="1598" spans="1:10" ht="14.1" customHeight="1" thickBot="1" x14ac:dyDescent="0.25">
      <c r="A1598" s="61" t="s">
        <v>18914</v>
      </c>
      <c r="B1598" s="61" t="s">
        <v>18915</v>
      </c>
      <c r="C1598" s="61" t="s">
        <v>17798</v>
      </c>
      <c r="D1598" s="61" t="s">
        <v>10170</v>
      </c>
      <c r="E1598" s="61" t="s">
        <v>8854</v>
      </c>
      <c r="F1598" s="61"/>
      <c r="G1598" s="5"/>
      <c r="H1598" s="5"/>
      <c r="I1598" s="5"/>
      <c r="J1598" s="5"/>
    </row>
    <row r="1599" spans="1:10" ht="14.1" customHeight="1" thickBot="1" x14ac:dyDescent="0.25">
      <c r="A1599" s="82" t="s">
        <v>14828</v>
      </c>
      <c r="B1599" s="62" t="s">
        <v>8528</v>
      </c>
      <c r="C1599" s="71">
        <v>44287</v>
      </c>
      <c r="D1599" s="82" t="s">
        <v>9385</v>
      </c>
      <c r="E1599" s="62" t="s">
        <v>13092</v>
      </c>
      <c r="F1599" s="61" t="s">
        <v>3080</v>
      </c>
      <c r="G1599" s="5"/>
      <c r="H1599" s="5"/>
      <c r="I1599" s="5"/>
      <c r="J1599" s="5"/>
    </row>
    <row r="1600" spans="1:10" ht="14.1" customHeight="1" thickBot="1" x14ac:dyDescent="0.25">
      <c r="A1600" s="83"/>
      <c r="B1600" s="62" t="s">
        <v>1786</v>
      </c>
      <c r="C1600" s="60">
        <f>IF(C1599="","",IF(AND(MONTH(C1599)&gt;=1,MONTH(C1599)&lt;=3),1,IF(AND(MONTH(C1599)&gt;=4,MONTH(C1599)&lt;=6),2,IF(AND(MONTH(C1599)&gt;=7,MONTH(C1599)&lt;=9),3,4))))</f>
        <v>2</v>
      </c>
      <c r="D1600" s="83"/>
      <c r="E1600" s="62" t="s">
        <v>2417</v>
      </c>
      <c r="F1600" s="61" t="s">
        <v>11111</v>
      </c>
      <c r="G1600" s="5"/>
      <c r="H1600" s="5"/>
      <c r="I1600" s="5"/>
      <c r="J1600" s="5"/>
    </row>
    <row r="1601" spans="1:10" ht="14.1" customHeight="1" thickBot="1" x14ac:dyDescent="0.25">
      <c r="A1601" s="83"/>
      <c r="B1601" s="62" t="s">
        <v>12941</v>
      </c>
      <c r="C1601" s="71">
        <v>44288</v>
      </c>
      <c r="D1601" s="83"/>
      <c r="E1601" s="62" t="s">
        <v>3073</v>
      </c>
      <c r="F1601" s="61" t="s">
        <v>11111</v>
      </c>
      <c r="G1601" s="5"/>
      <c r="H1601" s="5"/>
      <c r="I1601" s="5"/>
      <c r="J1601" s="5"/>
    </row>
    <row r="1602" spans="1:10" ht="14.1" customHeight="1" thickBot="1" x14ac:dyDescent="0.25">
      <c r="A1602" s="83"/>
      <c r="B1602" s="62" t="s">
        <v>1786</v>
      </c>
      <c r="C1602" s="60">
        <f>IF(C1601="","",IF(AND(MONTH(C1601)&gt;=1,MONTH(C1601)&lt;=3),1,IF(AND(MONTH(C1601)&gt;=4,MONTH(C1601)&lt;=6),2,IF(AND(MONTH(C1601)&gt;=7,MONTH(C1601)&lt;=9),3,4))))</f>
        <v>2</v>
      </c>
      <c r="D1602" s="83"/>
      <c r="E1602" s="62" t="s">
        <v>13191</v>
      </c>
      <c r="F1602" s="61" t="s">
        <v>11111</v>
      </c>
      <c r="G1602" s="5"/>
      <c r="H1602" s="5"/>
      <c r="I1602" s="5"/>
      <c r="J1602" s="5"/>
    </row>
    <row r="1603" spans="1:10" ht="14.1" customHeight="1" thickBot="1" x14ac:dyDescent="0.25">
      <c r="A1603" s="5"/>
      <c r="B1603" s="5"/>
      <c r="C1603" s="5"/>
      <c r="D1603" s="5"/>
      <c r="E1603" s="5"/>
      <c r="F1603" s="5"/>
      <c r="G1603" s="5"/>
      <c r="H1603" s="5"/>
      <c r="I1603" s="5"/>
      <c r="J1603" s="5"/>
    </row>
    <row r="1604" spans="1:10" ht="14.1" customHeight="1" thickBot="1" x14ac:dyDescent="0.25">
      <c r="A1604" s="67" t="s">
        <v>15735</v>
      </c>
      <c r="B1604" s="67" t="s">
        <v>16146</v>
      </c>
      <c r="C1604" s="67" t="s">
        <v>15641</v>
      </c>
      <c r="D1604" s="67" t="s">
        <v>15251</v>
      </c>
      <c r="E1604" s="67" t="s">
        <v>6932</v>
      </c>
      <c r="F1604" s="67" t="s">
        <v>15280</v>
      </c>
      <c r="G1604" s="5"/>
      <c r="H1604" s="5"/>
      <c r="I1604" s="5"/>
      <c r="J1604" s="5"/>
    </row>
    <row r="1605" spans="1:10" ht="13.5" customHeight="1" x14ac:dyDescent="0.2">
      <c r="A1605" s="63">
        <v>39121311</v>
      </c>
      <c r="B1605" s="64" t="str">
        <f ca="1">IFERROR(INDEX(UNSPSCDes,MATCH(INDIRECT(ADDRESS(ROW(),COLUMN()-1,4)),UNSPSCCode,0)),"")</f>
        <v>Accesorios eléctricos</v>
      </c>
      <c r="C1605" s="63" t="s">
        <v>1449</v>
      </c>
      <c r="D1605" s="63">
        <v>1</v>
      </c>
      <c r="E1605" s="66">
        <v>50000</v>
      </c>
      <c r="F1605" s="65">
        <f ca="1">INDIRECT(ADDRESS(ROW(),COLUMN()-2,4))*INDIRECT(ADDRESS(ROW(),COLUMN()-1,4))</f>
        <v>50000</v>
      </c>
      <c r="G1605" s="5"/>
      <c r="H1605" s="5"/>
      <c r="I1605" s="5"/>
      <c r="J1605" s="5"/>
    </row>
    <row r="1606" spans="1:10" ht="14.1" customHeight="1" x14ac:dyDescent="0.2">
      <c r="A1606" s="5"/>
      <c r="B1606" s="5"/>
      <c r="C1606" s="5"/>
      <c r="D1606" s="5"/>
      <c r="E1606" s="68" t="s">
        <v>12549</v>
      </c>
      <c r="F1606" s="69">
        <f ca="1">SUM(Table3145[MONTO TOTAL ESTIMADO])</f>
        <v>50000</v>
      </c>
      <c r="G1606" s="5"/>
      <c r="H1606" s="5" t="str">
        <f>C1598</f>
        <v>Bienes</v>
      </c>
      <c r="I1606" s="5" t="str">
        <f>E1598</f>
        <v>Sí</v>
      </c>
      <c r="J1606" s="5" t="str">
        <f>D1598</f>
        <v>Compras por debajo del Umbral</v>
      </c>
    </row>
    <row r="1607" spans="1:10" ht="14.1" customHeight="1" thickBot="1" x14ac:dyDescent="0.3"/>
    <row r="1608" spans="1:10" ht="33.75" customHeight="1" thickBot="1" x14ac:dyDescent="0.25">
      <c r="A1608" s="59" t="s">
        <v>16382</v>
      </c>
      <c r="B1608" s="59" t="s">
        <v>161</v>
      </c>
      <c r="C1608" s="59" t="s">
        <v>11723</v>
      </c>
      <c r="D1608" s="59" t="s">
        <v>14377</v>
      </c>
      <c r="E1608" s="59" t="s">
        <v>10961</v>
      </c>
      <c r="F1608" s="59" t="s">
        <v>11094</v>
      </c>
      <c r="G1608" s="5"/>
      <c r="H1608" s="5"/>
      <c r="I1608" s="5"/>
      <c r="J1608" s="5"/>
    </row>
    <row r="1609" spans="1:10" ht="14.1" customHeight="1" thickBot="1" x14ac:dyDescent="0.25">
      <c r="A1609" s="61" t="s">
        <v>18914</v>
      </c>
      <c r="B1609" s="61" t="s">
        <v>18915</v>
      </c>
      <c r="C1609" s="61" t="s">
        <v>17798</v>
      </c>
      <c r="D1609" s="61" t="s">
        <v>10170</v>
      </c>
      <c r="E1609" s="61" t="s">
        <v>8854</v>
      </c>
      <c r="F1609" s="61"/>
      <c r="G1609" s="5"/>
      <c r="H1609" s="5"/>
      <c r="I1609" s="5"/>
      <c r="J1609" s="5"/>
    </row>
    <row r="1610" spans="1:10" ht="14.1" customHeight="1" thickBot="1" x14ac:dyDescent="0.25">
      <c r="A1610" s="82" t="s">
        <v>14828</v>
      </c>
      <c r="B1610" s="62" t="s">
        <v>8528</v>
      </c>
      <c r="C1610" s="71">
        <v>44378</v>
      </c>
      <c r="D1610" s="82" t="s">
        <v>9385</v>
      </c>
      <c r="E1610" s="62" t="s">
        <v>13092</v>
      </c>
      <c r="F1610" s="61" t="s">
        <v>3080</v>
      </c>
      <c r="G1610" s="5"/>
      <c r="H1610" s="5"/>
      <c r="I1610" s="5"/>
      <c r="J1610" s="5"/>
    </row>
    <row r="1611" spans="1:10" ht="14.1" customHeight="1" thickBot="1" x14ac:dyDescent="0.25">
      <c r="A1611" s="83"/>
      <c r="B1611" s="62" t="s">
        <v>1786</v>
      </c>
      <c r="C1611" s="60">
        <f>IF(C1610="","",IF(AND(MONTH(C1610)&gt;=1,MONTH(C1610)&lt;=3),1,IF(AND(MONTH(C1610)&gt;=4,MONTH(C1610)&lt;=6),2,IF(AND(MONTH(C1610)&gt;=7,MONTH(C1610)&lt;=9),3,4))))</f>
        <v>3</v>
      </c>
      <c r="D1611" s="83"/>
      <c r="E1611" s="62" t="s">
        <v>2417</v>
      </c>
      <c r="F1611" s="61" t="s">
        <v>11111</v>
      </c>
      <c r="G1611" s="5"/>
      <c r="H1611" s="5"/>
      <c r="I1611" s="5"/>
      <c r="J1611" s="5"/>
    </row>
    <row r="1612" spans="1:10" ht="14.1" customHeight="1" thickBot="1" x14ac:dyDescent="0.25">
      <c r="A1612" s="83"/>
      <c r="B1612" s="62" t="s">
        <v>12941</v>
      </c>
      <c r="C1612" s="71">
        <v>44379</v>
      </c>
      <c r="D1612" s="83"/>
      <c r="E1612" s="62" t="s">
        <v>3073</v>
      </c>
      <c r="F1612" s="61" t="s">
        <v>11111</v>
      </c>
      <c r="G1612" s="5"/>
      <c r="H1612" s="5"/>
      <c r="I1612" s="5"/>
      <c r="J1612" s="5"/>
    </row>
    <row r="1613" spans="1:10" ht="14.1" customHeight="1" thickBot="1" x14ac:dyDescent="0.25">
      <c r="A1613" s="83"/>
      <c r="B1613" s="62" t="s">
        <v>1786</v>
      </c>
      <c r="C1613" s="60">
        <f>IF(C1612="","",IF(AND(MONTH(C1612)&gt;=1,MONTH(C1612)&lt;=3),1,IF(AND(MONTH(C1612)&gt;=4,MONTH(C1612)&lt;=6),2,IF(AND(MONTH(C1612)&gt;=7,MONTH(C1612)&lt;=9),3,4))))</f>
        <v>3</v>
      </c>
      <c r="D1613" s="83"/>
      <c r="E1613" s="62" t="s">
        <v>13191</v>
      </c>
      <c r="F1613" s="61" t="s">
        <v>11111</v>
      </c>
      <c r="G1613" s="5"/>
      <c r="H1613" s="5"/>
      <c r="I1613" s="5"/>
      <c r="J1613" s="5"/>
    </row>
    <row r="1614" spans="1:10" ht="14.1" customHeight="1" thickBot="1" x14ac:dyDescent="0.25">
      <c r="A1614" s="5"/>
      <c r="B1614" s="5"/>
      <c r="C1614" s="5"/>
      <c r="D1614" s="5"/>
      <c r="E1614" s="5"/>
      <c r="F1614" s="5"/>
      <c r="G1614" s="5"/>
      <c r="H1614" s="5"/>
      <c r="I1614" s="5"/>
      <c r="J1614" s="5"/>
    </row>
    <row r="1615" spans="1:10" ht="14.1" customHeight="1" thickBot="1" x14ac:dyDescent="0.25">
      <c r="A1615" s="67" t="s">
        <v>15735</v>
      </c>
      <c r="B1615" s="67" t="s">
        <v>16146</v>
      </c>
      <c r="C1615" s="67" t="s">
        <v>15641</v>
      </c>
      <c r="D1615" s="67" t="s">
        <v>15251</v>
      </c>
      <c r="E1615" s="67" t="s">
        <v>6932</v>
      </c>
      <c r="F1615" s="67" t="s">
        <v>15280</v>
      </c>
      <c r="G1615" s="5"/>
      <c r="H1615" s="5"/>
      <c r="I1615" s="5"/>
      <c r="J1615" s="5"/>
    </row>
    <row r="1616" spans="1:10" ht="13.5" customHeight="1" x14ac:dyDescent="0.2">
      <c r="A1616" s="63">
        <v>39121311</v>
      </c>
      <c r="B1616" s="64" t="str">
        <f ca="1">IFERROR(INDEX(UNSPSCDes,MATCH(INDIRECT(ADDRESS(ROW(),COLUMN()-1,4)),UNSPSCCode,0)),"")</f>
        <v>Accesorios eléctricos</v>
      </c>
      <c r="C1616" s="63" t="s">
        <v>1449</v>
      </c>
      <c r="D1616" s="63">
        <v>1</v>
      </c>
      <c r="E1616" s="66">
        <v>50000</v>
      </c>
      <c r="F1616" s="65">
        <f ca="1">INDIRECT(ADDRESS(ROW(),COLUMN()-2,4))*INDIRECT(ADDRESS(ROW(),COLUMN()-1,4))</f>
        <v>50000</v>
      </c>
      <c r="G1616" s="5"/>
      <c r="H1616" s="5"/>
      <c r="I1616" s="5"/>
      <c r="J1616" s="5"/>
    </row>
    <row r="1617" spans="1:10" ht="14.1" customHeight="1" x14ac:dyDescent="0.2">
      <c r="A1617" s="5"/>
      <c r="B1617" s="5"/>
      <c r="C1617" s="5"/>
      <c r="D1617" s="5"/>
      <c r="E1617" s="68" t="s">
        <v>12549</v>
      </c>
      <c r="F1617" s="69">
        <f ca="1">SUM(Table3146[MONTO TOTAL ESTIMADO])</f>
        <v>50000</v>
      </c>
      <c r="G1617" s="5"/>
      <c r="H1617" s="5" t="str">
        <f>C1609</f>
        <v>Bienes</v>
      </c>
      <c r="I1617" s="5" t="str">
        <f>E1609</f>
        <v>Sí</v>
      </c>
      <c r="J1617" s="5" t="str">
        <f>D1609</f>
        <v>Compras por debajo del Umbral</v>
      </c>
    </row>
    <row r="1618" spans="1:10" ht="14.1" customHeight="1" thickBot="1" x14ac:dyDescent="0.3"/>
    <row r="1619" spans="1:10" ht="33.75" customHeight="1" thickBot="1" x14ac:dyDescent="0.25">
      <c r="A1619" s="59" t="s">
        <v>16382</v>
      </c>
      <c r="B1619" s="59" t="s">
        <v>161</v>
      </c>
      <c r="C1619" s="59" t="s">
        <v>11723</v>
      </c>
      <c r="D1619" s="59" t="s">
        <v>14377</v>
      </c>
      <c r="E1619" s="59" t="s">
        <v>10961</v>
      </c>
      <c r="F1619" s="59" t="s">
        <v>11094</v>
      </c>
      <c r="G1619" s="5"/>
      <c r="H1619" s="5"/>
      <c r="I1619" s="5"/>
      <c r="J1619" s="5"/>
    </row>
    <row r="1620" spans="1:10" ht="14.1" customHeight="1" thickBot="1" x14ac:dyDescent="0.25">
      <c r="A1620" s="61" t="s">
        <v>18914</v>
      </c>
      <c r="B1620" s="61" t="s">
        <v>18915</v>
      </c>
      <c r="C1620" s="61" t="s">
        <v>17798</v>
      </c>
      <c r="D1620" s="61" t="s">
        <v>10170</v>
      </c>
      <c r="E1620" s="61" t="s">
        <v>8854</v>
      </c>
      <c r="F1620" s="61"/>
      <c r="G1620" s="5"/>
      <c r="H1620" s="5"/>
      <c r="I1620" s="5"/>
      <c r="J1620" s="5"/>
    </row>
    <row r="1621" spans="1:10" ht="14.1" customHeight="1" thickBot="1" x14ac:dyDescent="0.25">
      <c r="A1621" s="82" t="s">
        <v>14828</v>
      </c>
      <c r="B1621" s="62" t="s">
        <v>8528</v>
      </c>
      <c r="C1621" s="71">
        <v>44470</v>
      </c>
      <c r="D1621" s="82" t="s">
        <v>9385</v>
      </c>
      <c r="E1621" s="62" t="s">
        <v>13092</v>
      </c>
      <c r="F1621" s="61" t="s">
        <v>3080</v>
      </c>
      <c r="G1621" s="5"/>
      <c r="H1621" s="5"/>
      <c r="I1621" s="5"/>
      <c r="J1621" s="5"/>
    </row>
    <row r="1622" spans="1:10" ht="14.1" customHeight="1" thickBot="1" x14ac:dyDescent="0.25">
      <c r="A1622" s="83"/>
      <c r="B1622" s="62" t="s">
        <v>1786</v>
      </c>
      <c r="C1622" s="60">
        <f>IF(C1621="","",IF(AND(MONTH(C1621)&gt;=1,MONTH(C1621)&lt;=3),1,IF(AND(MONTH(C1621)&gt;=4,MONTH(C1621)&lt;=6),2,IF(AND(MONTH(C1621)&gt;=7,MONTH(C1621)&lt;=9),3,4))))</f>
        <v>4</v>
      </c>
      <c r="D1622" s="83"/>
      <c r="E1622" s="62" t="s">
        <v>2417</v>
      </c>
      <c r="F1622" s="61" t="s">
        <v>11111</v>
      </c>
      <c r="G1622" s="5"/>
      <c r="H1622" s="5"/>
      <c r="I1622" s="5"/>
      <c r="J1622" s="5"/>
    </row>
    <row r="1623" spans="1:10" ht="14.1" customHeight="1" thickBot="1" x14ac:dyDescent="0.25">
      <c r="A1623" s="83"/>
      <c r="B1623" s="62" t="s">
        <v>12941</v>
      </c>
      <c r="C1623" s="71">
        <v>44473</v>
      </c>
      <c r="D1623" s="83"/>
      <c r="E1623" s="62" t="s">
        <v>3073</v>
      </c>
      <c r="F1623" s="61" t="s">
        <v>11111</v>
      </c>
      <c r="G1623" s="5"/>
      <c r="H1623" s="5"/>
      <c r="I1623" s="5"/>
      <c r="J1623" s="5"/>
    </row>
    <row r="1624" spans="1:10" ht="14.1" customHeight="1" thickBot="1" x14ac:dyDescent="0.25">
      <c r="A1624" s="83"/>
      <c r="B1624" s="62" t="s">
        <v>1786</v>
      </c>
      <c r="C1624" s="60">
        <f>IF(C1623="","",IF(AND(MONTH(C1623)&gt;=1,MONTH(C1623)&lt;=3),1,IF(AND(MONTH(C1623)&gt;=4,MONTH(C1623)&lt;=6),2,IF(AND(MONTH(C1623)&gt;=7,MONTH(C1623)&lt;=9),3,4))))</f>
        <v>4</v>
      </c>
      <c r="D1624" s="83"/>
      <c r="E1624" s="62" t="s">
        <v>13191</v>
      </c>
      <c r="F1624" s="61" t="s">
        <v>11111</v>
      </c>
      <c r="G1624" s="5"/>
      <c r="H1624" s="5"/>
      <c r="I1624" s="5"/>
      <c r="J1624" s="5"/>
    </row>
    <row r="1625" spans="1:10" ht="14.1" customHeight="1" thickBot="1" x14ac:dyDescent="0.25">
      <c r="A1625" s="5"/>
      <c r="B1625" s="5"/>
      <c r="C1625" s="5"/>
      <c r="D1625" s="5"/>
      <c r="E1625" s="5"/>
      <c r="F1625" s="5"/>
      <c r="G1625" s="5"/>
      <c r="H1625" s="5"/>
      <c r="I1625" s="5"/>
      <c r="J1625" s="5"/>
    </row>
    <row r="1626" spans="1:10" ht="14.1" customHeight="1" thickBot="1" x14ac:dyDescent="0.25">
      <c r="A1626" s="67" t="s">
        <v>15735</v>
      </c>
      <c r="B1626" s="67" t="s">
        <v>16146</v>
      </c>
      <c r="C1626" s="67" t="s">
        <v>15641</v>
      </c>
      <c r="D1626" s="67" t="s">
        <v>15251</v>
      </c>
      <c r="E1626" s="67" t="s">
        <v>6932</v>
      </c>
      <c r="F1626" s="67" t="s">
        <v>15280</v>
      </c>
      <c r="G1626" s="5"/>
      <c r="H1626" s="5"/>
      <c r="I1626" s="5"/>
      <c r="J1626" s="5"/>
    </row>
    <row r="1627" spans="1:10" ht="13.5" customHeight="1" x14ac:dyDescent="0.2">
      <c r="A1627" s="63">
        <v>39121311</v>
      </c>
      <c r="B1627" s="64" t="str">
        <f ca="1">IFERROR(INDEX(UNSPSCDes,MATCH(INDIRECT(ADDRESS(ROW(),COLUMN()-1,4)),UNSPSCCode,0)),"")</f>
        <v>Accesorios eléctricos</v>
      </c>
      <c r="C1627" s="63" t="s">
        <v>1449</v>
      </c>
      <c r="D1627" s="63">
        <v>1</v>
      </c>
      <c r="E1627" s="66">
        <v>50000</v>
      </c>
      <c r="F1627" s="65">
        <f ca="1">INDIRECT(ADDRESS(ROW(),COLUMN()-2,4))*INDIRECT(ADDRESS(ROW(),COLUMN()-1,4))</f>
        <v>50000</v>
      </c>
      <c r="G1627" s="5"/>
      <c r="H1627" s="5"/>
      <c r="I1627" s="5"/>
      <c r="J1627" s="5"/>
    </row>
    <row r="1628" spans="1:10" ht="14.1" customHeight="1" x14ac:dyDescent="0.2">
      <c r="A1628" s="5"/>
      <c r="B1628" s="5"/>
      <c r="C1628" s="5"/>
      <c r="D1628" s="5"/>
      <c r="E1628" s="68" t="s">
        <v>12549</v>
      </c>
      <c r="F1628" s="69">
        <f ca="1">SUM(Table3147[MONTO TOTAL ESTIMADO])</f>
        <v>50000</v>
      </c>
      <c r="G1628" s="5"/>
      <c r="H1628" s="5" t="str">
        <f>C1620</f>
        <v>Bienes</v>
      </c>
      <c r="I1628" s="5" t="str">
        <f>E1620</f>
        <v>Sí</v>
      </c>
      <c r="J1628" s="5" t="str">
        <f>D1620</f>
        <v>Compras por debajo del Umbral</v>
      </c>
    </row>
    <row r="1629" spans="1:10" ht="14.1" customHeight="1" thickBot="1" x14ac:dyDescent="0.3"/>
    <row r="1630" spans="1:10" ht="33.75" customHeight="1" thickBot="1" x14ac:dyDescent="0.25">
      <c r="A1630" s="59" t="s">
        <v>16382</v>
      </c>
      <c r="B1630" s="59" t="s">
        <v>161</v>
      </c>
      <c r="C1630" s="59" t="s">
        <v>11723</v>
      </c>
      <c r="D1630" s="59" t="s">
        <v>14377</v>
      </c>
      <c r="E1630" s="59" t="s">
        <v>10961</v>
      </c>
      <c r="F1630" s="59" t="s">
        <v>11094</v>
      </c>
      <c r="G1630" s="5"/>
      <c r="H1630" s="5"/>
      <c r="I1630" s="5"/>
      <c r="J1630" s="5"/>
    </row>
    <row r="1631" spans="1:10" ht="14.1" customHeight="1" thickBot="1" x14ac:dyDescent="0.25">
      <c r="A1631" s="61" t="s">
        <v>18917</v>
      </c>
      <c r="B1631" s="61" t="s">
        <v>18918</v>
      </c>
      <c r="C1631" s="61" t="s">
        <v>17798</v>
      </c>
      <c r="D1631" s="61" t="s">
        <v>17483</v>
      </c>
      <c r="E1631" s="61" t="s">
        <v>17854</v>
      </c>
      <c r="F1631" s="61"/>
      <c r="G1631" s="5"/>
      <c r="H1631" s="5"/>
      <c r="I1631" s="5"/>
      <c r="J1631" s="5"/>
    </row>
    <row r="1632" spans="1:10" ht="14.1" customHeight="1" thickBot="1" x14ac:dyDescent="0.25">
      <c r="A1632" s="82" t="s">
        <v>14828</v>
      </c>
      <c r="B1632" s="62" t="s">
        <v>8528</v>
      </c>
      <c r="C1632" s="71">
        <v>44378</v>
      </c>
      <c r="D1632" s="82" t="s">
        <v>9385</v>
      </c>
      <c r="E1632" s="62" t="s">
        <v>13092</v>
      </c>
      <c r="F1632" s="61" t="s">
        <v>3080</v>
      </c>
      <c r="G1632" s="5"/>
      <c r="H1632" s="5"/>
      <c r="I1632" s="5"/>
      <c r="J1632" s="5"/>
    </row>
    <row r="1633" spans="1:10" ht="14.1" customHeight="1" thickBot="1" x14ac:dyDescent="0.25">
      <c r="A1633" s="83"/>
      <c r="B1633" s="62" t="s">
        <v>1786</v>
      </c>
      <c r="C1633" s="60">
        <f>IF(C1632="","",IF(AND(MONTH(C1632)&gt;=1,MONTH(C1632)&lt;=3),1,IF(AND(MONTH(C1632)&gt;=4,MONTH(C1632)&lt;=6),2,IF(AND(MONTH(C1632)&gt;=7,MONTH(C1632)&lt;=9),3,4))))</f>
        <v>3</v>
      </c>
      <c r="D1633" s="83"/>
      <c r="E1633" s="62" t="s">
        <v>2417</v>
      </c>
      <c r="F1633" s="61" t="s">
        <v>11111</v>
      </c>
      <c r="G1633" s="5"/>
      <c r="H1633" s="5"/>
      <c r="I1633" s="5"/>
      <c r="J1633" s="5"/>
    </row>
    <row r="1634" spans="1:10" ht="14.1" customHeight="1" thickBot="1" x14ac:dyDescent="0.25">
      <c r="A1634" s="83"/>
      <c r="B1634" s="62" t="s">
        <v>12941</v>
      </c>
      <c r="C1634" s="71">
        <v>44392</v>
      </c>
      <c r="D1634" s="83"/>
      <c r="E1634" s="62" t="s">
        <v>3073</v>
      </c>
      <c r="F1634" s="61" t="s">
        <v>11111</v>
      </c>
      <c r="G1634" s="5"/>
      <c r="H1634" s="5"/>
      <c r="I1634" s="5"/>
      <c r="J1634" s="5"/>
    </row>
    <row r="1635" spans="1:10" ht="14.1" customHeight="1" thickBot="1" x14ac:dyDescent="0.25">
      <c r="A1635" s="83"/>
      <c r="B1635" s="62" t="s">
        <v>1786</v>
      </c>
      <c r="C1635" s="60">
        <f>IF(C1634="","",IF(AND(MONTH(C1634)&gt;=1,MONTH(C1634)&lt;=3),1,IF(AND(MONTH(C1634)&gt;=4,MONTH(C1634)&lt;=6),2,IF(AND(MONTH(C1634)&gt;=7,MONTH(C1634)&lt;=9),3,4))))</f>
        <v>3</v>
      </c>
      <c r="D1635" s="83"/>
      <c r="E1635" s="62" t="s">
        <v>13191</v>
      </c>
      <c r="F1635" s="61" t="s">
        <v>11111</v>
      </c>
      <c r="G1635" s="5"/>
      <c r="H1635" s="5"/>
      <c r="I1635" s="5"/>
      <c r="J1635" s="5"/>
    </row>
    <row r="1636" spans="1:10" ht="14.1" customHeight="1" thickBot="1" x14ac:dyDescent="0.25">
      <c r="A1636" s="5"/>
      <c r="B1636" s="5"/>
      <c r="C1636" s="5"/>
      <c r="D1636" s="5"/>
      <c r="E1636" s="5"/>
      <c r="F1636" s="5"/>
      <c r="G1636" s="5"/>
      <c r="H1636" s="5"/>
      <c r="I1636" s="5"/>
      <c r="J1636" s="5"/>
    </row>
    <row r="1637" spans="1:10" ht="14.1" customHeight="1" thickBot="1" x14ac:dyDescent="0.25">
      <c r="A1637" s="67" t="s">
        <v>15735</v>
      </c>
      <c r="B1637" s="67" t="s">
        <v>16146</v>
      </c>
      <c r="C1637" s="67" t="s">
        <v>15641</v>
      </c>
      <c r="D1637" s="67" t="s">
        <v>15251</v>
      </c>
      <c r="E1637" s="67" t="s">
        <v>6932</v>
      </c>
      <c r="F1637" s="67" t="s">
        <v>15280</v>
      </c>
      <c r="G1637" s="5"/>
      <c r="H1637" s="5"/>
      <c r="I1637" s="5"/>
      <c r="J1637" s="5"/>
    </row>
    <row r="1638" spans="1:10" ht="13.5" customHeight="1" x14ac:dyDescent="0.2">
      <c r="A1638" s="77">
        <v>40151563</v>
      </c>
      <c r="B1638" s="64" t="str">
        <f ca="1">IFERROR(INDEX(UNSPSCDes,MATCH(INDIRECT(ADDRESS(ROW(),COLUMN()-1,4)),UNSPSCCode,0)),"")</f>
        <v>Sets de bombas contra incendio</v>
      </c>
      <c r="C1638" s="63" t="s">
        <v>1449</v>
      </c>
      <c r="D1638" s="63">
        <v>1</v>
      </c>
      <c r="E1638" s="66">
        <v>700000</v>
      </c>
      <c r="F1638" s="65">
        <f ca="1">INDIRECT(ADDRESS(ROW(),COLUMN()-2,4))*INDIRECT(ADDRESS(ROW(),COLUMN()-1,4))</f>
        <v>700000</v>
      </c>
      <c r="G1638" s="5"/>
      <c r="H1638" s="5"/>
      <c r="I1638" s="5"/>
      <c r="J1638" s="5"/>
    </row>
    <row r="1639" spans="1:10" ht="14.1" customHeight="1" x14ac:dyDescent="0.2">
      <c r="A1639" s="5"/>
      <c r="B1639" s="5"/>
      <c r="C1639" s="5"/>
      <c r="D1639" s="5"/>
      <c r="E1639" s="68" t="s">
        <v>12549</v>
      </c>
      <c r="F1639" s="69">
        <f ca="1">SUM(Table3150[MONTO TOTAL ESTIMADO])</f>
        <v>700000</v>
      </c>
      <c r="G1639" s="5"/>
      <c r="H1639" s="5" t="str">
        <f>C1631</f>
        <v>Bienes</v>
      </c>
      <c r="I1639" s="5" t="str">
        <f>E1631</f>
        <v>No</v>
      </c>
      <c r="J1639" s="5" t="str">
        <f>D1631</f>
        <v>Compras Menores</v>
      </c>
    </row>
    <row r="1640" spans="1:10" ht="14.1" customHeight="1" thickBot="1" x14ac:dyDescent="0.3"/>
    <row r="1641" spans="1:10" ht="33.75" customHeight="1" thickBot="1" x14ac:dyDescent="0.25">
      <c r="A1641" s="59" t="s">
        <v>16382</v>
      </c>
      <c r="B1641" s="59" t="s">
        <v>161</v>
      </c>
      <c r="C1641" s="59" t="s">
        <v>11723</v>
      </c>
      <c r="D1641" s="59" t="s">
        <v>14377</v>
      </c>
      <c r="E1641" s="59" t="s">
        <v>10961</v>
      </c>
      <c r="F1641" s="59" t="s">
        <v>11094</v>
      </c>
      <c r="G1641" s="5"/>
      <c r="H1641" s="5"/>
      <c r="I1641" s="5"/>
      <c r="J1641" s="5"/>
    </row>
    <row r="1642" spans="1:10" ht="14.1" customHeight="1" thickBot="1" x14ac:dyDescent="0.25">
      <c r="A1642" s="61" t="s">
        <v>18919</v>
      </c>
      <c r="B1642" s="61" t="s">
        <v>18920</v>
      </c>
      <c r="C1642" s="61" t="s">
        <v>6798</v>
      </c>
      <c r="D1642" s="61" t="s">
        <v>17483</v>
      </c>
      <c r="E1642" s="61" t="s">
        <v>17854</v>
      </c>
      <c r="F1642" s="61"/>
      <c r="G1642" s="5"/>
      <c r="H1642" s="5"/>
      <c r="I1642" s="5"/>
      <c r="J1642" s="5"/>
    </row>
    <row r="1643" spans="1:10" ht="14.1" customHeight="1" thickBot="1" x14ac:dyDescent="0.25">
      <c r="A1643" s="82" t="s">
        <v>14828</v>
      </c>
      <c r="B1643" s="62" t="s">
        <v>8528</v>
      </c>
      <c r="C1643" s="71">
        <v>44197</v>
      </c>
      <c r="D1643" s="82" t="s">
        <v>9385</v>
      </c>
      <c r="E1643" s="62" t="s">
        <v>13092</v>
      </c>
      <c r="F1643" s="61" t="s">
        <v>3080</v>
      </c>
      <c r="G1643" s="5"/>
      <c r="H1643" s="5"/>
      <c r="I1643" s="5"/>
      <c r="J1643" s="5"/>
    </row>
    <row r="1644" spans="1:10" ht="14.1" customHeight="1" thickBot="1" x14ac:dyDescent="0.25">
      <c r="A1644" s="83"/>
      <c r="B1644" s="62" t="s">
        <v>1786</v>
      </c>
      <c r="C1644" s="60">
        <f>IF(C1643="","",IF(AND(MONTH(C1643)&gt;=1,MONTH(C1643)&lt;=3),1,IF(AND(MONTH(C1643)&gt;=4,MONTH(C1643)&lt;=6),2,IF(AND(MONTH(C1643)&gt;=7,MONTH(C1643)&lt;=9),3,4))))</f>
        <v>1</v>
      </c>
      <c r="D1644" s="83"/>
      <c r="E1644" s="62" t="s">
        <v>2417</v>
      </c>
      <c r="F1644" s="61" t="s">
        <v>11111</v>
      </c>
      <c r="G1644" s="5"/>
      <c r="H1644" s="5"/>
      <c r="I1644" s="5"/>
      <c r="J1644" s="5"/>
    </row>
    <row r="1645" spans="1:10" ht="14.1" customHeight="1" thickBot="1" x14ac:dyDescent="0.25">
      <c r="A1645" s="83"/>
      <c r="B1645" s="62" t="s">
        <v>12941</v>
      </c>
      <c r="C1645" s="71">
        <v>44211</v>
      </c>
      <c r="D1645" s="83"/>
      <c r="E1645" s="62" t="s">
        <v>3073</v>
      </c>
      <c r="F1645" s="61" t="s">
        <v>11111</v>
      </c>
      <c r="G1645" s="5"/>
      <c r="H1645" s="5"/>
      <c r="I1645" s="5"/>
      <c r="J1645" s="5"/>
    </row>
    <row r="1646" spans="1:10" ht="14.1" customHeight="1" thickBot="1" x14ac:dyDescent="0.25">
      <c r="A1646" s="83"/>
      <c r="B1646" s="62" t="s">
        <v>1786</v>
      </c>
      <c r="C1646" s="60">
        <f>IF(C1645="","",IF(AND(MONTH(C1645)&gt;=1,MONTH(C1645)&lt;=3),1,IF(AND(MONTH(C1645)&gt;=4,MONTH(C1645)&lt;=6),2,IF(AND(MONTH(C1645)&gt;=7,MONTH(C1645)&lt;=9),3,4))))</f>
        <v>1</v>
      </c>
      <c r="D1646" s="83"/>
      <c r="E1646" s="62" t="s">
        <v>13191</v>
      </c>
      <c r="F1646" s="61" t="s">
        <v>11111</v>
      </c>
      <c r="G1646" s="5"/>
      <c r="H1646" s="5"/>
      <c r="I1646" s="5"/>
      <c r="J1646" s="5"/>
    </row>
    <row r="1647" spans="1:10" ht="14.1" customHeight="1" thickBot="1" x14ac:dyDescent="0.25">
      <c r="A1647" s="5"/>
      <c r="B1647" s="5"/>
      <c r="C1647" s="5"/>
      <c r="D1647" s="5"/>
      <c r="E1647" s="5"/>
      <c r="F1647" s="5"/>
      <c r="G1647" s="5"/>
      <c r="H1647" s="5"/>
      <c r="I1647" s="5"/>
      <c r="J1647" s="5"/>
    </row>
    <row r="1648" spans="1:10" ht="14.1" customHeight="1" thickBot="1" x14ac:dyDescent="0.25">
      <c r="A1648" s="67" t="s">
        <v>15735</v>
      </c>
      <c r="B1648" s="67" t="s">
        <v>16146</v>
      </c>
      <c r="C1648" s="67" t="s">
        <v>15641</v>
      </c>
      <c r="D1648" s="67" t="s">
        <v>15251</v>
      </c>
      <c r="E1648" s="67" t="s">
        <v>6932</v>
      </c>
      <c r="F1648" s="67" t="s">
        <v>15280</v>
      </c>
      <c r="G1648" s="5"/>
      <c r="H1648" s="5"/>
      <c r="I1648" s="5"/>
      <c r="J1648" s="5"/>
    </row>
    <row r="1649" spans="1:10" ht="13.5" customHeight="1" x14ac:dyDescent="0.2">
      <c r="A1649" s="77">
        <v>43232801</v>
      </c>
      <c r="B1649" s="64" t="str">
        <f ca="1">IFERROR(INDEX(UNSPSCDes,MATCH(INDIRECT(ADDRESS(ROW(),COLUMN()-1,4)),UNSPSCCode,0)),"")</f>
        <v>Software de monitoreo de red</v>
      </c>
      <c r="C1649" s="63" t="s">
        <v>1449</v>
      </c>
      <c r="D1649" s="63">
        <v>1</v>
      </c>
      <c r="E1649" s="66">
        <v>50000</v>
      </c>
      <c r="F1649" s="65">
        <f ca="1">INDIRECT(ADDRESS(ROW(),COLUMN()-2,4))*INDIRECT(ADDRESS(ROW(),COLUMN()-1,4))</f>
        <v>50000</v>
      </c>
      <c r="G1649" s="5"/>
      <c r="H1649" s="5"/>
      <c r="I1649" s="5"/>
      <c r="J1649" s="5"/>
    </row>
    <row r="1650" spans="1:10" ht="13.5" customHeight="1" x14ac:dyDescent="0.2">
      <c r="A1650" s="63">
        <v>43233004</v>
      </c>
      <c r="B1650" s="64" t="str">
        <f ca="1">IFERROR(INDEX(UNSPSCDes,MATCH(INDIRECT(ADDRESS(ROW(),COLUMN()-1,4)),UNSPSCCode,0)),"")</f>
        <v>Software de sistema operativo</v>
      </c>
      <c r="C1650" s="63" t="s">
        <v>1449</v>
      </c>
      <c r="D1650" s="63">
        <v>540</v>
      </c>
      <c r="E1650" s="66">
        <v>1100</v>
      </c>
      <c r="F1650" s="65">
        <f ca="1">INDIRECT(ADDRESS(ROW(),COLUMN()-2,4))*INDIRECT(ADDRESS(ROW(),COLUMN()-1,4))</f>
        <v>594000</v>
      </c>
      <c r="G1650" s="5"/>
      <c r="H1650" s="5"/>
      <c r="I1650" s="5"/>
      <c r="J1650" s="5"/>
    </row>
    <row r="1651" spans="1:10" ht="13.5" customHeight="1" x14ac:dyDescent="0.2">
      <c r="A1651" s="77">
        <v>43232801</v>
      </c>
      <c r="B1651" s="64" t="str">
        <f ca="1">IFERROR(INDEX(UNSPSCDes,MATCH(INDIRECT(ADDRESS(ROW(),COLUMN()-1,4)),UNSPSCCode,0)),"")</f>
        <v>Software de monitoreo de red</v>
      </c>
      <c r="C1651" s="63" t="s">
        <v>1449</v>
      </c>
      <c r="D1651" s="63">
        <v>1</v>
      </c>
      <c r="E1651" s="66">
        <v>52000</v>
      </c>
      <c r="F1651" s="65">
        <f ca="1">INDIRECT(ADDRESS(ROW(),COLUMN()-2,4))*INDIRECT(ADDRESS(ROW(),COLUMN()-1,4))</f>
        <v>52000</v>
      </c>
      <c r="G1651" s="5"/>
      <c r="H1651" s="5"/>
      <c r="I1651" s="5"/>
      <c r="J1651" s="5"/>
    </row>
    <row r="1652" spans="1:10" ht="13.5" customHeight="1" x14ac:dyDescent="0.2">
      <c r="A1652" s="77">
        <v>43232801</v>
      </c>
      <c r="B1652" s="64" t="str">
        <f ca="1">IFERROR(INDEX(UNSPSCDes,MATCH(INDIRECT(ADDRESS(ROW(),COLUMN()-1,4)),UNSPSCCode,0)),"")</f>
        <v>Software de monitoreo de red</v>
      </c>
      <c r="C1652" s="63" t="s">
        <v>1449</v>
      </c>
      <c r="D1652" s="63">
        <v>1</v>
      </c>
      <c r="E1652" s="66">
        <v>34000</v>
      </c>
      <c r="F1652" s="65">
        <f ca="1">INDIRECT(ADDRESS(ROW(),COLUMN()-2,4))*INDIRECT(ADDRESS(ROW(),COLUMN()-1,4))</f>
        <v>34000</v>
      </c>
      <c r="G1652" s="5"/>
      <c r="H1652" s="5"/>
      <c r="I1652" s="5"/>
      <c r="J1652" s="5"/>
    </row>
    <row r="1653" spans="1:10" ht="14.1" customHeight="1" x14ac:dyDescent="0.2">
      <c r="A1653" s="5"/>
      <c r="B1653" s="5"/>
      <c r="C1653" s="5"/>
      <c r="D1653" s="5"/>
      <c r="E1653" s="68" t="s">
        <v>12549</v>
      </c>
      <c r="F1653" s="69">
        <f ca="1">SUM(Table3153[MONTO TOTAL ESTIMADO])</f>
        <v>730000</v>
      </c>
      <c r="G1653" s="5"/>
      <c r="H1653" s="5" t="str">
        <f>C1642</f>
        <v>Servicios</v>
      </c>
      <c r="I1653" s="5" t="str">
        <f>E1642</f>
        <v>No</v>
      </c>
      <c r="J1653" s="5" t="str">
        <f>D1642</f>
        <v>Compras Menores</v>
      </c>
    </row>
    <row r="1654" spans="1:10" ht="14.1" customHeight="1" thickBot="1" x14ac:dyDescent="0.3"/>
    <row r="1655" spans="1:10" ht="33.75" customHeight="1" thickBot="1" x14ac:dyDescent="0.25">
      <c r="A1655" s="59" t="s">
        <v>16382</v>
      </c>
      <c r="B1655" s="59" t="s">
        <v>161</v>
      </c>
      <c r="C1655" s="59" t="s">
        <v>11723</v>
      </c>
      <c r="D1655" s="59" t="s">
        <v>14377</v>
      </c>
      <c r="E1655" s="59" t="s">
        <v>10961</v>
      </c>
      <c r="F1655" s="59" t="s">
        <v>11094</v>
      </c>
      <c r="G1655" s="5"/>
      <c r="H1655" s="5"/>
      <c r="I1655" s="5"/>
      <c r="J1655" s="5"/>
    </row>
    <row r="1656" spans="1:10" ht="14.1" customHeight="1" thickBot="1" x14ac:dyDescent="0.25">
      <c r="A1656" s="61" t="s">
        <v>18919</v>
      </c>
      <c r="B1656" s="61" t="s">
        <v>18920</v>
      </c>
      <c r="C1656" s="61" t="s">
        <v>6798</v>
      </c>
      <c r="D1656" s="61" t="s">
        <v>1875</v>
      </c>
      <c r="E1656" s="61" t="s">
        <v>17854</v>
      </c>
      <c r="F1656" s="61"/>
      <c r="G1656" s="5"/>
      <c r="H1656" s="5"/>
      <c r="I1656" s="5"/>
      <c r="J1656" s="5"/>
    </row>
    <row r="1657" spans="1:10" ht="14.1" customHeight="1" thickBot="1" x14ac:dyDescent="0.25">
      <c r="A1657" s="82" t="s">
        <v>14828</v>
      </c>
      <c r="B1657" s="62" t="s">
        <v>8528</v>
      </c>
      <c r="C1657" s="71">
        <v>44287</v>
      </c>
      <c r="D1657" s="82" t="s">
        <v>9385</v>
      </c>
      <c r="E1657" s="62" t="s">
        <v>13092</v>
      </c>
      <c r="F1657" s="61" t="s">
        <v>3080</v>
      </c>
      <c r="G1657" s="5"/>
      <c r="H1657" s="5"/>
      <c r="I1657" s="5"/>
      <c r="J1657" s="5"/>
    </row>
    <row r="1658" spans="1:10" ht="14.1" customHeight="1" thickBot="1" x14ac:dyDescent="0.25">
      <c r="A1658" s="83"/>
      <c r="B1658" s="62" t="s">
        <v>1786</v>
      </c>
      <c r="C1658" s="60">
        <f>IF(C1657="","",IF(AND(MONTH(C1657)&gt;=1,MONTH(C1657)&lt;=3),1,IF(AND(MONTH(C1657)&gt;=4,MONTH(C1657)&lt;=6),2,IF(AND(MONTH(C1657)&gt;=7,MONTH(C1657)&lt;=9),3,4))))</f>
        <v>2</v>
      </c>
      <c r="D1658" s="83"/>
      <c r="E1658" s="62" t="s">
        <v>2417</v>
      </c>
      <c r="F1658" s="61" t="s">
        <v>11111</v>
      </c>
      <c r="G1658" s="5"/>
      <c r="H1658" s="5"/>
      <c r="I1658" s="5"/>
      <c r="J1658" s="5"/>
    </row>
    <row r="1659" spans="1:10" ht="14.1" customHeight="1" thickBot="1" x14ac:dyDescent="0.25">
      <c r="A1659" s="83"/>
      <c r="B1659" s="62" t="s">
        <v>12941</v>
      </c>
      <c r="C1659" s="71">
        <v>44301</v>
      </c>
      <c r="D1659" s="83"/>
      <c r="E1659" s="62" t="s">
        <v>3073</v>
      </c>
      <c r="F1659" s="61" t="s">
        <v>11111</v>
      </c>
      <c r="G1659" s="5"/>
      <c r="H1659" s="5"/>
      <c r="I1659" s="5"/>
      <c r="J1659" s="5"/>
    </row>
    <row r="1660" spans="1:10" ht="14.1" customHeight="1" thickBot="1" x14ac:dyDescent="0.25">
      <c r="A1660" s="83"/>
      <c r="B1660" s="62" t="s">
        <v>1786</v>
      </c>
      <c r="C1660" s="60">
        <f>IF(C1659="","",IF(AND(MONTH(C1659)&gt;=1,MONTH(C1659)&lt;=3),1,IF(AND(MONTH(C1659)&gt;=4,MONTH(C1659)&lt;=6),2,IF(AND(MONTH(C1659)&gt;=7,MONTH(C1659)&lt;=9),3,4))))</f>
        <v>2</v>
      </c>
      <c r="D1660" s="83"/>
      <c r="E1660" s="62" t="s">
        <v>13191</v>
      </c>
      <c r="F1660" s="61" t="s">
        <v>11111</v>
      </c>
      <c r="G1660" s="5"/>
      <c r="H1660" s="5"/>
      <c r="I1660" s="5"/>
      <c r="J1660" s="5"/>
    </row>
    <row r="1661" spans="1:10" ht="14.1" customHeight="1" thickBot="1" x14ac:dyDescent="0.25">
      <c r="A1661" s="5"/>
      <c r="B1661" s="5"/>
      <c r="C1661" s="5"/>
      <c r="D1661" s="5"/>
      <c r="E1661" s="5"/>
      <c r="F1661" s="5"/>
      <c r="G1661" s="5"/>
      <c r="H1661" s="5"/>
      <c r="I1661" s="5"/>
      <c r="J1661" s="5"/>
    </row>
    <row r="1662" spans="1:10" ht="14.1" customHeight="1" thickBot="1" x14ac:dyDescent="0.25">
      <c r="A1662" s="67" t="s">
        <v>15735</v>
      </c>
      <c r="B1662" s="67" t="s">
        <v>16146</v>
      </c>
      <c r="C1662" s="67" t="s">
        <v>15641</v>
      </c>
      <c r="D1662" s="67" t="s">
        <v>15251</v>
      </c>
      <c r="E1662" s="67" t="s">
        <v>6932</v>
      </c>
      <c r="F1662" s="67" t="s">
        <v>15280</v>
      </c>
      <c r="G1662" s="5"/>
      <c r="H1662" s="5"/>
      <c r="I1662" s="5"/>
      <c r="J1662" s="5"/>
    </row>
    <row r="1663" spans="1:10" ht="13.5" customHeight="1" x14ac:dyDescent="0.2">
      <c r="A1663" s="63">
        <v>43233004</v>
      </c>
      <c r="B1663" s="64" t="str">
        <f t="shared" ref="B1663:B1668" ca="1" si="6">IFERROR(INDEX(UNSPSCDes,MATCH(INDIRECT(ADDRESS(ROW(),COLUMN()-1,4)),UNSPSCCode,0)),"")</f>
        <v>Software de sistema operativo</v>
      </c>
      <c r="C1663" s="63" t="s">
        <v>1449</v>
      </c>
      <c r="D1663" s="63">
        <v>540</v>
      </c>
      <c r="E1663" s="66">
        <v>1100</v>
      </c>
      <c r="F1663" s="65">
        <f t="shared" ref="F1663:F1668" ca="1" si="7">INDIRECT(ADDRESS(ROW(),COLUMN()-2,4))*INDIRECT(ADDRESS(ROW(),COLUMN()-1,4))</f>
        <v>594000</v>
      </c>
      <c r="G1663" s="5"/>
      <c r="H1663" s="5"/>
      <c r="I1663" s="5"/>
      <c r="J1663" s="5"/>
    </row>
    <row r="1664" spans="1:10" ht="13.5" customHeight="1" x14ac:dyDescent="0.2">
      <c r="A1664" s="63">
        <v>43232102</v>
      </c>
      <c r="B1664" s="64" t="str">
        <f t="shared" ca="1" si="6"/>
        <v>Software de imágenes gráficas o de fotografía</v>
      </c>
      <c r="C1664" s="63" t="s">
        <v>1449</v>
      </c>
      <c r="D1664" s="63">
        <v>1</v>
      </c>
      <c r="E1664" s="66">
        <v>340400</v>
      </c>
      <c r="F1664" s="65">
        <f t="shared" ca="1" si="7"/>
        <v>340400</v>
      </c>
      <c r="G1664" s="5"/>
      <c r="H1664" s="5"/>
      <c r="I1664" s="5"/>
      <c r="J1664" s="5"/>
    </row>
    <row r="1665" spans="1:10" ht="27" customHeight="1" x14ac:dyDescent="0.2">
      <c r="A1665" s="63">
        <v>43233205</v>
      </c>
      <c r="B1665" s="64" t="str">
        <f t="shared" ca="1" si="6"/>
        <v>Software de seguridad de transacciones y de protección contra virus</v>
      </c>
      <c r="C1665" s="63" t="s">
        <v>1449</v>
      </c>
      <c r="D1665" s="63">
        <v>200</v>
      </c>
      <c r="E1665" s="66">
        <v>1000</v>
      </c>
      <c r="F1665" s="65">
        <f t="shared" ca="1" si="7"/>
        <v>200000</v>
      </c>
      <c r="G1665" s="5"/>
      <c r="H1665" s="5"/>
      <c r="I1665" s="5"/>
      <c r="J1665" s="5"/>
    </row>
    <row r="1666" spans="1:10" ht="13.5" customHeight="1" x14ac:dyDescent="0.2">
      <c r="A1666" s="63">
        <v>81112006</v>
      </c>
      <c r="B1666" s="64" t="str">
        <f t="shared" ca="1" si="6"/>
        <v>servicios de almacenamiento de datos</v>
      </c>
      <c r="C1666" s="63" t="s">
        <v>1449</v>
      </c>
      <c r="D1666" s="63">
        <v>1</v>
      </c>
      <c r="E1666" s="66">
        <v>17000</v>
      </c>
      <c r="F1666" s="65">
        <f t="shared" ca="1" si="7"/>
        <v>17000</v>
      </c>
      <c r="G1666" s="5"/>
      <c r="H1666" s="5"/>
      <c r="I1666" s="5"/>
      <c r="J1666" s="5"/>
    </row>
    <row r="1667" spans="1:10" ht="13.5" customHeight="1" x14ac:dyDescent="0.2">
      <c r="A1667" s="77">
        <v>81112107</v>
      </c>
      <c r="B1667" s="64" t="str">
        <f t="shared" ca="1" si="6"/>
        <v>Nombres de los dominio de internet</v>
      </c>
      <c r="C1667" s="63" t="s">
        <v>1449</v>
      </c>
      <c r="D1667" s="63">
        <v>1</v>
      </c>
      <c r="E1667" s="66">
        <v>3540</v>
      </c>
      <c r="F1667" s="65">
        <f t="shared" ca="1" si="7"/>
        <v>3540</v>
      </c>
      <c r="G1667" s="5"/>
      <c r="H1667" s="5"/>
      <c r="I1667" s="5"/>
      <c r="J1667" s="5"/>
    </row>
    <row r="1668" spans="1:10" ht="27" customHeight="1" x14ac:dyDescent="0.2">
      <c r="A1668" s="77">
        <v>43231501</v>
      </c>
      <c r="B1668" s="64" t="str">
        <f t="shared" ca="1" si="6"/>
        <v>Software de mesa de ayuda o centro de llamadas (call center)</v>
      </c>
      <c r="C1668" s="63" t="s">
        <v>1449</v>
      </c>
      <c r="D1668" s="63">
        <v>1</v>
      </c>
      <c r="E1668" s="66">
        <v>100000</v>
      </c>
      <c r="F1668" s="65">
        <f t="shared" ca="1" si="7"/>
        <v>100000</v>
      </c>
      <c r="G1668" s="5"/>
      <c r="H1668" s="5"/>
      <c r="I1668" s="5"/>
      <c r="J1668" s="5"/>
    </row>
    <row r="1669" spans="1:10" ht="14.1" customHeight="1" x14ac:dyDescent="0.2">
      <c r="A1669" s="5"/>
      <c r="B1669" s="5"/>
      <c r="C1669" s="5"/>
      <c r="D1669" s="5"/>
      <c r="E1669" s="68" t="s">
        <v>12549</v>
      </c>
      <c r="F1669" s="69">
        <f ca="1">SUM(Table3154[MONTO TOTAL ESTIMADO])</f>
        <v>1254940</v>
      </c>
      <c r="G1669" s="5"/>
      <c r="H1669" s="5" t="str">
        <f>C1656</f>
        <v>Servicios</v>
      </c>
      <c r="I1669" s="5" t="str">
        <f>E1656</f>
        <v>No</v>
      </c>
      <c r="J1669" s="5" t="str">
        <f>D1656</f>
        <v>Comparacion de Precios</v>
      </c>
    </row>
    <row r="1670" spans="1:10" ht="14.1" customHeight="1" thickBot="1" x14ac:dyDescent="0.3"/>
    <row r="1671" spans="1:10" ht="33.75" customHeight="1" thickBot="1" x14ac:dyDescent="0.25">
      <c r="A1671" s="59" t="s">
        <v>16382</v>
      </c>
      <c r="B1671" s="59" t="s">
        <v>161</v>
      </c>
      <c r="C1671" s="59" t="s">
        <v>11723</v>
      </c>
      <c r="D1671" s="59" t="s">
        <v>14377</v>
      </c>
      <c r="E1671" s="59" t="s">
        <v>10961</v>
      </c>
      <c r="F1671" s="59" t="s">
        <v>11094</v>
      </c>
      <c r="G1671" s="5"/>
      <c r="H1671" s="5"/>
      <c r="I1671" s="5"/>
      <c r="J1671" s="5"/>
    </row>
    <row r="1672" spans="1:10" ht="14.1" customHeight="1" thickBot="1" x14ac:dyDescent="0.25">
      <c r="A1672" s="61" t="s">
        <v>18919</v>
      </c>
      <c r="B1672" s="61" t="s">
        <v>18920</v>
      </c>
      <c r="C1672" s="61" t="s">
        <v>6798</v>
      </c>
      <c r="D1672" s="61" t="s">
        <v>17483</v>
      </c>
      <c r="E1672" s="61" t="s">
        <v>17854</v>
      </c>
      <c r="F1672" s="61"/>
      <c r="G1672" s="5"/>
      <c r="H1672" s="5"/>
      <c r="I1672" s="5"/>
      <c r="J1672" s="5"/>
    </row>
    <row r="1673" spans="1:10" ht="14.1" customHeight="1" thickBot="1" x14ac:dyDescent="0.25">
      <c r="A1673" s="82" t="s">
        <v>14828</v>
      </c>
      <c r="B1673" s="62" t="s">
        <v>8528</v>
      </c>
      <c r="C1673" s="71">
        <v>44378</v>
      </c>
      <c r="D1673" s="82" t="s">
        <v>9385</v>
      </c>
      <c r="E1673" s="62" t="s">
        <v>13092</v>
      </c>
      <c r="F1673" s="61" t="s">
        <v>3080</v>
      </c>
      <c r="G1673" s="5"/>
      <c r="H1673" s="5"/>
      <c r="I1673" s="5"/>
      <c r="J1673" s="5"/>
    </row>
    <row r="1674" spans="1:10" ht="14.1" customHeight="1" thickBot="1" x14ac:dyDescent="0.25">
      <c r="A1674" s="83"/>
      <c r="B1674" s="62" t="s">
        <v>1786</v>
      </c>
      <c r="C1674" s="60">
        <f>IF(C1673="","",IF(AND(MONTH(C1673)&gt;=1,MONTH(C1673)&lt;=3),1,IF(AND(MONTH(C1673)&gt;=4,MONTH(C1673)&lt;=6),2,IF(AND(MONTH(C1673)&gt;=7,MONTH(C1673)&lt;=9),3,4))))</f>
        <v>3</v>
      </c>
      <c r="D1674" s="83"/>
      <c r="E1674" s="62" t="s">
        <v>2417</v>
      </c>
      <c r="F1674" s="61" t="s">
        <v>11111</v>
      </c>
      <c r="G1674" s="5"/>
      <c r="H1674" s="5"/>
      <c r="I1674" s="5"/>
      <c r="J1674" s="5"/>
    </row>
    <row r="1675" spans="1:10" ht="14.1" customHeight="1" thickBot="1" x14ac:dyDescent="0.25">
      <c r="A1675" s="83"/>
      <c r="B1675" s="62" t="s">
        <v>12941</v>
      </c>
      <c r="C1675" s="71">
        <v>44392</v>
      </c>
      <c r="D1675" s="83"/>
      <c r="E1675" s="62" t="s">
        <v>3073</v>
      </c>
      <c r="F1675" s="61" t="s">
        <v>11111</v>
      </c>
      <c r="G1675" s="5"/>
      <c r="H1675" s="5"/>
      <c r="I1675" s="5"/>
      <c r="J1675" s="5"/>
    </row>
    <row r="1676" spans="1:10" ht="14.1" customHeight="1" thickBot="1" x14ac:dyDescent="0.25">
      <c r="A1676" s="83"/>
      <c r="B1676" s="62" t="s">
        <v>1786</v>
      </c>
      <c r="C1676" s="60">
        <f>IF(C1675="","",IF(AND(MONTH(C1675)&gt;=1,MONTH(C1675)&lt;=3),1,IF(AND(MONTH(C1675)&gt;=4,MONTH(C1675)&lt;=6),2,IF(AND(MONTH(C1675)&gt;=7,MONTH(C1675)&lt;=9),3,4))))</f>
        <v>3</v>
      </c>
      <c r="D1676" s="83"/>
      <c r="E1676" s="62" t="s">
        <v>13191</v>
      </c>
      <c r="F1676" s="61" t="s">
        <v>11111</v>
      </c>
      <c r="G1676" s="5"/>
      <c r="H1676" s="5"/>
      <c r="I1676" s="5"/>
      <c r="J1676" s="5"/>
    </row>
    <row r="1677" spans="1:10" ht="14.1" customHeight="1" thickBot="1" x14ac:dyDescent="0.25">
      <c r="A1677" s="5"/>
      <c r="B1677" s="5"/>
      <c r="C1677" s="5"/>
      <c r="D1677" s="5"/>
      <c r="E1677" s="5"/>
      <c r="F1677" s="5"/>
      <c r="G1677" s="5"/>
      <c r="H1677" s="5"/>
      <c r="I1677" s="5"/>
      <c r="J1677" s="5"/>
    </row>
    <row r="1678" spans="1:10" ht="14.1" customHeight="1" thickBot="1" x14ac:dyDescent="0.25">
      <c r="A1678" s="67" t="s">
        <v>15735</v>
      </c>
      <c r="B1678" s="67" t="s">
        <v>16146</v>
      </c>
      <c r="C1678" s="67" t="s">
        <v>15641</v>
      </c>
      <c r="D1678" s="67" t="s">
        <v>15251</v>
      </c>
      <c r="E1678" s="67" t="s">
        <v>6932</v>
      </c>
      <c r="F1678" s="67" t="s">
        <v>15280</v>
      </c>
      <c r="G1678" s="5"/>
      <c r="H1678" s="5"/>
      <c r="I1678" s="5"/>
      <c r="J1678" s="5"/>
    </row>
    <row r="1679" spans="1:10" ht="13.5" customHeight="1" x14ac:dyDescent="0.2">
      <c r="A1679" s="63">
        <v>43233004</v>
      </c>
      <c r="B1679" s="64" t="str">
        <f ca="1">IFERROR(INDEX(UNSPSCDes,MATCH(INDIRECT(ADDRESS(ROW(),COLUMN()-1,4)),UNSPSCCode,0)),"")</f>
        <v>Software de sistema operativo</v>
      </c>
      <c r="C1679" s="63" t="s">
        <v>1449</v>
      </c>
      <c r="D1679" s="63">
        <v>540</v>
      </c>
      <c r="E1679" s="66">
        <v>1100</v>
      </c>
      <c r="F1679" s="65">
        <f ca="1">INDIRECT(ADDRESS(ROW(),COLUMN()-2,4))*INDIRECT(ADDRESS(ROW(),COLUMN()-1,4))</f>
        <v>594000</v>
      </c>
      <c r="G1679" s="5"/>
      <c r="H1679" s="5"/>
      <c r="I1679" s="5"/>
      <c r="J1679" s="5"/>
    </row>
    <row r="1680" spans="1:10" ht="13.5" customHeight="1" x14ac:dyDescent="0.2">
      <c r="A1680" s="77">
        <v>43232915</v>
      </c>
      <c r="B1680" s="64" t="str">
        <f ca="1">IFERROR(INDEX(UNSPSCDes,MATCH(INDIRECT(ADDRESS(ROW(),COLUMN()-1,4)),UNSPSCCode,0)),"")</f>
        <v>Software de interconectividad de plataformas</v>
      </c>
      <c r="C1680" s="63" t="s">
        <v>1449</v>
      </c>
      <c r="D1680" s="63">
        <v>1</v>
      </c>
      <c r="E1680" s="66">
        <v>87535</v>
      </c>
      <c r="F1680" s="65">
        <f ca="1">INDIRECT(ADDRESS(ROW(),COLUMN()-2,4))*INDIRECT(ADDRESS(ROW(),COLUMN()-1,4))</f>
        <v>87535</v>
      </c>
      <c r="G1680" s="5"/>
      <c r="H1680" s="5"/>
      <c r="I1680" s="5"/>
      <c r="J1680" s="5"/>
    </row>
    <row r="1681" spans="1:10" ht="27" customHeight="1" x14ac:dyDescent="0.2">
      <c r="A1681" s="77">
        <v>43231501</v>
      </c>
      <c r="B1681" s="64" t="str">
        <f ca="1">IFERROR(INDEX(UNSPSCDes,MATCH(INDIRECT(ADDRESS(ROW(),COLUMN()-1,4)),UNSPSCCode,0)),"")</f>
        <v>Software de mesa de ayuda o centro de llamadas (call center)</v>
      </c>
      <c r="C1681" s="63" t="s">
        <v>1449</v>
      </c>
      <c r="D1681" s="63">
        <v>1</v>
      </c>
      <c r="E1681" s="66">
        <v>100000</v>
      </c>
      <c r="F1681" s="65">
        <f ca="1">INDIRECT(ADDRESS(ROW(),COLUMN()-2,4))*INDIRECT(ADDRESS(ROW(),COLUMN()-1,4))</f>
        <v>100000</v>
      </c>
      <c r="G1681" s="5"/>
      <c r="H1681" s="5"/>
      <c r="I1681" s="5"/>
      <c r="J1681" s="5"/>
    </row>
    <row r="1682" spans="1:10" ht="14.1" customHeight="1" x14ac:dyDescent="0.2">
      <c r="A1682" s="5"/>
      <c r="B1682" s="5"/>
      <c r="C1682" s="5"/>
      <c r="D1682" s="5"/>
      <c r="E1682" s="68" t="s">
        <v>12549</v>
      </c>
      <c r="F1682" s="69">
        <f ca="1">SUM(Table3155[MONTO TOTAL ESTIMADO])</f>
        <v>781535</v>
      </c>
      <c r="G1682" s="5"/>
      <c r="H1682" s="5" t="str">
        <f>C1672</f>
        <v>Servicios</v>
      </c>
      <c r="I1682" s="5" t="str">
        <f>E1672</f>
        <v>No</v>
      </c>
      <c r="J1682" s="5" t="str">
        <f>D1672</f>
        <v>Compras Menores</v>
      </c>
    </row>
    <row r="1683" spans="1:10" ht="14.1" customHeight="1" thickBot="1" x14ac:dyDescent="0.3"/>
    <row r="1684" spans="1:10" ht="33.75" customHeight="1" thickBot="1" x14ac:dyDescent="0.25">
      <c r="A1684" s="59" t="s">
        <v>16382</v>
      </c>
      <c r="B1684" s="59" t="s">
        <v>161</v>
      </c>
      <c r="C1684" s="59" t="s">
        <v>11723</v>
      </c>
      <c r="D1684" s="59" t="s">
        <v>14377</v>
      </c>
      <c r="E1684" s="59" t="s">
        <v>10961</v>
      </c>
      <c r="F1684" s="59" t="s">
        <v>11094</v>
      </c>
      <c r="G1684" s="5"/>
      <c r="H1684" s="5"/>
      <c r="I1684" s="5"/>
      <c r="J1684" s="5"/>
    </row>
    <row r="1685" spans="1:10" ht="14.1" customHeight="1" thickBot="1" x14ac:dyDescent="0.25">
      <c r="A1685" s="61" t="s">
        <v>18919</v>
      </c>
      <c r="B1685" s="61" t="s">
        <v>18920</v>
      </c>
      <c r="C1685" s="61" t="s">
        <v>6798</v>
      </c>
      <c r="D1685" s="61" t="s">
        <v>17483</v>
      </c>
      <c r="E1685" s="61" t="s">
        <v>17854</v>
      </c>
      <c r="F1685" s="61"/>
      <c r="G1685" s="5"/>
      <c r="H1685" s="5"/>
      <c r="I1685" s="5"/>
      <c r="J1685" s="5"/>
    </row>
    <row r="1686" spans="1:10" ht="14.1" customHeight="1" thickBot="1" x14ac:dyDescent="0.25">
      <c r="A1686" s="82" t="s">
        <v>14828</v>
      </c>
      <c r="B1686" s="62" t="s">
        <v>8528</v>
      </c>
      <c r="C1686" s="71">
        <v>44470</v>
      </c>
      <c r="D1686" s="82" t="s">
        <v>9385</v>
      </c>
      <c r="E1686" s="62" t="s">
        <v>13092</v>
      </c>
      <c r="F1686" s="61" t="s">
        <v>3080</v>
      </c>
      <c r="G1686" s="5"/>
      <c r="H1686" s="5"/>
      <c r="I1686" s="5"/>
      <c r="J1686" s="5"/>
    </row>
    <row r="1687" spans="1:10" ht="14.1" customHeight="1" thickBot="1" x14ac:dyDescent="0.25">
      <c r="A1687" s="83"/>
      <c r="B1687" s="62" t="s">
        <v>1786</v>
      </c>
      <c r="C1687" s="60">
        <f>IF(C1686="","",IF(AND(MONTH(C1686)&gt;=1,MONTH(C1686)&lt;=3),1,IF(AND(MONTH(C1686)&gt;=4,MONTH(C1686)&lt;=6),2,IF(AND(MONTH(C1686)&gt;=7,MONTH(C1686)&lt;=9),3,4))))</f>
        <v>4</v>
      </c>
      <c r="D1687" s="83"/>
      <c r="E1687" s="62" t="s">
        <v>2417</v>
      </c>
      <c r="F1687" s="61" t="s">
        <v>11111</v>
      </c>
      <c r="G1687" s="5"/>
      <c r="H1687" s="5"/>
      <c r="I1687" s="5"/>
      <c r="J1687" s="5"/>
    </row>
    <row r="1688" spans="1:10" ht="14.1" customHeight="1" thickBot="1" x14ac:dyDescent="0.25">
      <c r="A1688" s="83"/>
      <c r="B1688" s="62" t="s">
        <v>12941</v>
      </c>
      <c r="C1688" s="71">
        <v>44484</v>
      </c>
      <c r="D1688" s="83"/>
      <c r="E1688" s="62" t="s">
        <v>3073</v>
      </c>
      <c r="F1688" s="61" t="s">
        <v>11111</v>
      </c>
      <c r="G1688" s="5"/>
      <c r="H1688" s="5"/>
      <c r="I1688" s="5"/>
      <c r="J1688" s="5"/>
    </row>
    <row r="1689" spans="1:10" ht="14.1" customHeight="1" thickBot="1" x14ac:dyDescent="0.25">
      <c r="A1689" s="83"/>
      <c r="B1689" s="62" t="s">
        <v>1786</v>
      </c>
      <c r="C1689" s="60">
        <f>IF(C1688="","",IF(AND(MONTH(C1688)&gt;=1,MONTH(C1688)&lt;=3),1,IF(AND(MONTH(C1688)&gt;=4,MONTH(C1688)&lt;=6),2,IF(AND(MONTH(C1688)&gt;=7,MONTH(C1688)&lt;=9),3,4))))</f>
        <v>4</v>
      </c>
      <c r="D1689" s="83"/>
      <c r="E1689" s="62" t="s">
        <v>13191</v>
      </c>
      <c r="F1689" s="61" t="s">
        <v>11111</v>
      </c>
      <c r="G1689" s="5"/>
      <c r="H1689" s="5"/>
      <c r="I1689" s="5"/>
      <c r="J1689" s="5"/>
    </row>
    <row r="1690" spans="1:10" ht="14.1" customHeight="1" thickBot="1" x14ac:dyDescent="0.25">
      <c r="A1690" s="5"/>
      <c r="B1690" s="5"/>
      <c r="C1690" s="5"/>
      <c r="D1690" s="5"/>
      <c r="E1690" s="5"/>
      <c r="F1690" s="5"/>
      <c r="G1690" s="5"/>
      <c r="H1690" s="5"/>
      <c r="I1690" s="5"/>
      <c r="J1690" s="5"/>
    </row>
    <row r="1691" spans="1:10" ht="14.1" customHeight="1" thickBot="1" x14ac:dyDescent="0.25">
      <c r="A1691" s="67" t="s">
        <v>15735</v>
      </c>
      <c r="B1691" s="67" t="s">
        <v>16146</v>
      </c>
      <c r="C1691" s="67" t="s">
        <v>15641</v>
      </c>
      <c r="D1691" s="67" t="s">
        <v>15251</v>
      </c>
      <c r="E1691" s="67" t="s">
        <v>6932</v>
      </c>
      <c r="F1691" s="67" t="s">
        <v>15280</v>
      </c>
      <c r="G1691" s="5"/>
      <c r="H1691" s="5"/>
      <c r="I1691" s="5"/>
      <c r="J1691" s="5"/>
    </row>
    <row r="1692" spans="1:10" ht="13.5" customHeight="1" x14ac:dyDescent="0.2">
      <c r="A1692" s="63">
        <v>43233004</v>
      </c>
      <c r="B1692" s="64" t="str">
        <f ca="1">IFERROR(INDEX(UNSPSCDes,MATCH(INDIRECT(ADDRESS(ROW(),COLUMN()-1,4)),UNSPSCCode,0)),"")</f>
        <v>Software de sistema operativo</v>
      </c>
      <c r="C1692" s="63" t="s">
        <v>1449</v>
      </c>
      <c r="D1692" s="63">
        <v>540</v>
      </c>
      <c r="E1692" s="66">
        <v>1100</v>
      </c>
      <c r="F1692" s="65">
        <f ca="1">INDIRECT(ADDRESS(ROW(),COLUMN()-2,4))*INDIRECT(ADDRESS(ROW(),COLUMN()-1,4))</f>
        <v>594000</v>
      </c>
      <c r="G1692" s="5"/>
      <c r="H1692" s="5"/>
      <c r="I1692" s="5"/>
      <c r="J1692" s="5"/>
    </row>
    <row r="1693" spans="1:10" ht="14.1" customHeight="1" x14ac:dyDescent="0.2">
      <c r="A1693" s="5"/>
      <c r="B1693" s="5"/>
      <c r="C1693" s="5"/>
      <c r="D1693" s="5"/>
      <c r="E1693" s="68" t="s">
        <v>12549</v>
      </c>
      <c r="F1693" s="69">
        <f ca="1">SUM(Table3156[MONTO TOTAL ESTIMADO])</f>
        <v>594000</v>
      </c>
      <c r="G1693" s="5"/>
      <c r="H1693" s="5" t="str">
        <f>C1685</f>
        <v>Servicios</v>
      </c>
      <c r="I1693" s="5" t="str">
        <f>E1685</f>
        <v>No</v>
      </c>
      <c r="J1693" s="5" t="str">
        <f>D1685</f>
        <v>Compras Menores</v>
      </c>
    </row>
    <row r="1694" spans="1:10" ht="14.1" customHeight="1" thickBot="1" x14ac:dyDescent="0.3"/>
    <row r="1695" spans="1:10" ht="33.75" customHeight="1" thickBot="1" x14ac:dyDescent="0.25">
      <c r="A1695" s="59" t="s">
        <v>16382</v>
      </c>
      <c r="B1695" s="59" t="s">
        <v>161</v>
      </c>
      <c r="C1695" s="59" t="s">
        <v>11723</v>
      </c>
      <c r="D1695" s="59" t="s">
        <v>14377</v>
      </c>
      <c r="E1695" s="59" t="s">
        <v>10961</v>
      </c>
      <c r="F1695" s="59" t="s">
        <v>11094</v>
      </c>
      <c r="G1695" s="5"/>
      <c r="H1695" s="5"/>
      <c r="I1695" s="5"/>
      <c r="J1695" s="5"/>
    </row>
    <row r="1696" spans="1:10" ht="13.5" customHeight="1" thickBot="1" x14ac:dyDescent="0.25">
      <c r="A1696" s="61" t="s">
        <v>18916</v>
      </c>
      <c r="B1696" s="61" t="s">
        <v>18922</v>
      </c>
      <c r="C1696" s="61" t="s">
        <v>17798</v>
      </c>
      <c r="D1696" s="61" t="s">
        <v>17483</v>
      </c>
      <c r="E1696" s="61" t="s">
        <v>17854</v>
      </c>
      <c r="F1696" s="61"/>
      <c r="G1696" s="5"/>
      <c r="H1696" s="5"/>
      <c r="I1696" s="5"/>
      <c r="J1696" s="5"/>
    </row>
    <row r="1697" spans="1:10" ht="14.1" customHeight="1" thickBot="1" x14ac:dyDescent="0.25">
      <c r="A1697" s="82" t="s">
        <v>14828</v>
      </c>
      <c r="B1697" s="62" t="s">
        <v>8528</v>
      </c>
      <c r="C1697" s="71">
        <v>44197</v>
      </c>
      <c r="D1697" s="82" t="s">
        <v>9385</v>
      </c>
      <c r="E1697" s="62" t="s">
        <v>13092</v>
      </c>
      <c r="F1697" s="61" t="s">
        <v>3080</v>
      </c>
      <c r="G1697" s="5"/>
      <c r="H1697" s="5"/>
      <c r="I1697" s="5"/>
      <c r="J1697" s="5"/>
    </row>
    <row r="1698" spans="1:10" ht="14.1" customHeight="1" thickBot="1" x14ac:dyDescent="0.25">
      <c r="A1698" s="83"/>
      <c r="B1698" s="62" t="s">
        <v>1786</v>
      </c>
      <c r="C1698" s="60">
        <f>IF(C1697="","",IF(AND(MONTH(C1697)&gt;=1,MONTH(C1697)&lt;=3),1,IF(AND(MONTH(C1697)&gt;=4,MONTH(C1697)&lt;=6),2,IF(AND(MONTH(C1697)&gt;=7,MONTH(C1697)&lt;=9),3,4))))</f>
        <v>1</v>
      </c>
      <c r="D1698" s="83"/>
      <c r="E1698" s="62" t="s">
        <v>2417</v>
      </c>
      <c r="F1698" s="61" t="s">
        <v>11111</v>
      </c>
      <c r="G1698" s="5"/>
      <c r="H1698" s="5"/>
      <c r="I1698" s="5"/>
      <c r="J1698" s="5"/>
    </row>
    <row r="1699" spans="1:10" ht="14.1" customHeight="1" thickBot="1" x14ac:dyDescent="0.25">
      <c r="A1699" s="83"/>
      <c r="B1699" s="62" t="s">
        <v>12941</v>
      </c>
      <c r="C1699" s="71">
        <v>44211</v>
      </c>
      <c r="D1699" s="83"/>
      <c r="E1699" s="62" t="s">
        <v>3073</v>
      </c>
      <c r="F1699" s="61" t="s">
        <v>11111</v>
      </c>
      <c r="G1699" s="5"/>
      <c r="H1699" s="5"/>
      <c r="I1699" s="5"/>
      <c r="J1699" s="5"/>
    </row>
    <row r="1700" spans="1:10" ht="14.1" customHeight="1" thickBot="1" x14ac:dyDescent="0.25">
      <c r="A1700" s="83"/>
      <c r="B1700" s="62" t="s">
        <v>1786</v>
      </c>
      <c r="C1700" s="60">
        <f>IF(C1699="","",IF(AND(MONTH(C1699)&gt;=1,MONTH(C1699)&lt;=3),1,IF(AND(MONTH(C1699)&gt;=4,MONTH(C1699)&lt;=6),2,IF(AND(MONTH(C1699)&gt;=7,MONTH(C1699)&lt;=9),3,4))))</f>
        <v>1</v>
      </c>
      <c r="D1700" s="83"/>
      <c r="E1700" s="62" t="s">
        <v>13191</v>
      </c>
      <c r="F1700" s="61" t="s">
        <v>11111</v>
      </c>
      <c r="G1700" s="5"/>
      <c r="H1700" s="5"/>
      <c r="I1700" s="5"/>
      <c r="J1700" s="5"/>
    </row>
    <row r="1701" spans="1:10" ht="14.1" customHeight="1" thickBot="1" x14ac:dyDescent="0.25">
      <c r="A1701" s="5"/>
      <c r="B1701" s="5"/>
      <c r="C1701" s="5"/>
      <c r="D1701" s="5"/>
      <c r="E1701" s="5"/>
      <c r="F1701" s="5"/>
      <c r="G1701" s="5"/>
      <c r="H1701" s="5"/>
      <c r="I1701" s="5"/>
      <c r="J1701" s="5"/>
    </row>
    <row r="1702" spans="1:10" ht="14.1" customHeight="1" thickBot="1" x14ac:dyDescent="0.25">
      <c r="A1702" s="67" t="s">
        <v>15735</v>
      </c>
      <c r="B1702" s="67" t="s">
        <v>16146</v>
      </c>
      <c r="C1702" s="67" t="s">
        <v>15641</v>
      </c>
      <c r="D1702" s="67" t="s">
        <v>15251</v>
      </c>
      <c r="E1702" s="67" t="s">
        <v>6932</v>
      </c>
      <c r="F1702" s="67" t="s">
        <v>15280</v>
      </c>
      <c r="G1702" s="5"/>
      <c r="H1702" s="5"/>
      <c r="I1702" s="5"/>
      <c r="J1702" s="5"/>
    </row>
    <row r="1703" spans="1:10" ht="13.5" customHeight="1" x14ac:dyDescent="0.2">
      <c r="A1703" s="77">
        <v>45121518</v>
      </c>
      <c r="B1703" s="64" t="str">
        <f ca="1">IFERROR(INDEX(UNSPSCDes,MATCH(INDIRECT(ADDRESS(ROW(),COLUMN()-1,4)),UNSPSCCode,0)),"")</f>
        <v>Kits de cámaras</v>
      </c>
      <c r="C1703" s="63" t="s">
        <v>1449</v>
      </c>
      <c r="D1703" s="63">
        <v>1</v>
      </c>
      <c r="E1703" s="66">
        <v>325000</v>
      </c>
      <c r="F1703" s="65">
        <f ca="1">INDIRECT(ADDRESS(ROW(),COLUMN()-2,4))*INDIRECT(ADDRESS(ROW(),COLUMN()-1,4))</f>
        <v>325000</v>
      </c>
      <c r="G1703" s="5"/>
      <c r="H1703" s="5"/>
      <c r="I1703" s="5"/>
      <c r="J1703" s="5"/>
    </row>
    <row r="1704" spans="1:10" ht="14.1" customHeight="1" x14ac:dyDescent="0.2">
      <c r="A1704" s="5"/>
      <c r="B1704" s="5"/>
      <c r="C1704" s="5"/>
      <c r="D1704" s="5"/>
      <c r="E1704" s="68" t="s">
        <v>12549</v>
      </c>
      <c r="F1704" s="69">
        <f ca="1">SUM(Table315[MONTO TOTAL ESTIMADO])</f>
        <v>325000</v>
      </c>
      <c r="G1704" s="5"/>
      <c r="H1704" s="5" t="str">
        <f>C1696</f>
        <v>Bienes</v>
      </c>
      <c r="I1704" s="5" t="str">
        <f>E1696</f>
        <v>No</v>
      </c>
      <c r="J1704" s="5" t="str">
        <f>D1696</f>
        <v>Compras Menores</v>
      </c>
    </row>
    <row r="1705" spans="1:10" ht="14.1" customHeight="1" thickBot="1" x14ac:dyDescent="0.3"/>
    <row r="1706" spans="1:10" ht="33.75" customHeight="1" thickBot="1" x14ac:dyDescent="0.25">
      <c r="A1706" s="59" t="s">
        <v>16382</v>
      </c>
      <c r="B1706" s="59" t="s">
        <v>161</v>
      </c>
      <c r="C1706" s="59" t="s">
        <v>11723</v>
      </c>
      <c r="D1706" s="59" t="s">
        <v>14377</v>
      </c>
      <c r="E1706" s="59" t="s">
        <v>10961</v>
      </c>
      <c r="F1706" s="59" t="s">
        <v>11094</v>
      </c>
      <c r="G1706" s="5"/>
      <c r="H1706" s="5"/>
      <c r="I1706" s="5"/>
      <c r="J1706" s="5"/>
    </row>
    <row r="1707" spans="1:10" ht="13.5" customHeight="1" thickBot="1" x14ac:dyDescent="0.25">
      <c r="A1707" s="61" t="s">
        <v>18916</v>
      </c>
      <c r="B1707" s="61" t="s">
        <v>18922</v>
      </c>
      <c r="C1707" s="61" t="s">
        <v>17798</v>
      </c>
      <c r="D1707" s="61" t="s">
        <v>17483</v>
      </c>
      <c r="E1707" s="61" t="s">
        <v>17854</v>
      </c>
      <c r="F1707" s="61"/>
      <c r="G1707" s="5"/>
      <c r="H1707" s="5"/>
      <c r="I1707" s="5"/>
      <c r="J1707" s="5"/>
    </row>
    <row r="1708" spans="1:10" ht="14.1" customHeight="1" thickBot="1" x14ac:dyDescent="0.25">
      <c r="A1708" s="82" t="s">
        <v>14828</v>
      </c>
      <c r="B1708" s="62" t="s">
        <v>8528</v>
      </c>
      <c r="C1708" s="71">
        <v>44287</v>
      </c>
      <c r="D1708" s="82" t="s">
        <v>9385</v>
      </c>
      <c r="E1708" s="62" t="s">
        <v>13092</v>
      </c>
      <c r="F1708" s="61" t="s">
        <v>3080</v>
      </c>
      <c r="G1708" s="5"/>
      <c r="H1708" s="5"/>
      <c r="I1708" s="5"/>
      <c r="J1708" s="5"/>
    </row>
    <row r="1709" spans="1:10" ht="14.1" customHeight="1" thickBot="1" x14ac:dyDescent="0.25">
      <c r="A1709" s="83"/>
      <c r="B1709" s="62" t="s">
        <v>1786</v>
      </c>
      <c r="C1709" s="60">
        <f>IF(C1708="","",IF(AND(MONTH(C1708)&gt;=1,MONTH(C1708)&lt;=3),1,IF(AND(MONTH(C1708)&gt;=4,MONTH(C1708)&lt;=6),2,IF(AND(MONTH(C1708)&gt;=7,MONTH(C1708)&lt;=9),3,4))))</f>
        <v>2</v>
      </c>
      <c r="D1709" s="83"/>
      <c r="E1709" s="62" t="s">
        <v>2417</v>
      </c>
      <c r="F1709" s="61" t="s">
        <v>11111</v>
      </c>
      <c r="G1709" s="5"/>
      <c r="H1709" s="5"/>
      <c r="I1709" s="5"/>
      <c r="J1709" s="5"/>
    </row>
    <row r="1710" spans="1:10" ht="14.1" customHeight="1" thickBot="1" x14ac:dyDescent="0.25">
      <c r="A1710" s="83"/>
      <c r="B1710" s="62" t="s">
        <v>12941</v>
      </c>
      <c r="C1710" s="71">
        <v>44301</v>
      </c>
      <c r="D1710" s="83"/>
      <c r="E1710" s="62" t="s">
        <v>3073</v>
      </c>
      <c r="F1710" s="61" t="s">
        <v>11111</v>
      </c>
      <c r="G1710" s="5"/>
      <c r="H1710" s="5"/>
      <c r="I1710" s="5"/>
      <c r="J1710" s="5"/>
    </row>
    <row r="1711" spans="1:10" ht="14.1" customHeight="1" thickBot="1" x14ac:dyDescent="0.25">
      <c r="A1711" s="83"/>
      <c r="B1711" s="62" t="s">
        <v>1786</v>
      </c>
      <c r="C1711" s="60">
        <f>IF(C1710="","",IF(AND(MONTH(C1710)&gt;=1,MONTH(C1710)&lt;=3),1,IF(AND(MONTH(C1710)&gt;=4,MONTH(C1710)&lt;=6),2,IF(AND(MONTH(C1710)&gt;=7,MONTH(C1710)&lt;=9),3,4))))</f>
        <v>2</v>
      </c>
      <c r="D1711" s="83"/>
      <c r="E1711" s="62" t="s">
        <v>13191</v>
      </c>
      <c r="F1711" s="61" t="s">
        <v>11111</v>
      </c>
      <c r="G1711" s="5"/>
      <c r="H1711" s="5"/>
      <c r="I1711" s="5"/>
      <c r="J1711" s="5"/>
    </row>
    <row r="1712" spans="1:10" ht="14.1" customHeight="1" thickBot="1" x14ac:dyDescent="0.25">
      <c r="A1712" s="5"/>
      <c r="B1712" s="5"/>
      <c r="C1712" s="5"/>
      <c r="D1712" s="5"/>
      <c r="E1712" s="5"/>
      <c r="F1712" s="5"/>
      <c r="G1712" s="5"/>
      <c r="H1712" s="5"/>
      <c r="I1712" s="5"/>
      <c r="J1712" s="5"/>
    </row>
    <row r="1713" spans="1:10" ht="14.1" customHeight="1" thickBot="1" x14ac:dyDescent="0.25">
      <c r="A1713" s="67" t="s">
        <v>15735</v>
      </c>
      <c r="B1713" s="67" t="s">
        <v>16146</v>
      </c>
      <c r="C1713" s="67" t="s">
        <v>15641</v>
      </c>
      <c r="D1713" s="67" t="s">
        <v>15251</v>
      </c>
      <c r="E1713" s="67" t="s">
        <v>6932</v>
      </c>
      <c r="F1713" s="67" t="s">
        <v>15280</v>
      </c>
      <c r="G1713" s="5"/>
      <c r="H1713" s="5"/>
      <c r="I1713" s="5"/>
      <c r="J1713" s="5"/>
    </row>
    <row r="1714" spans="1:10" ht="13.5" customHeight="1" x14ac:dyDescent="0.2">
      <c r="A1714" s="77">
        <v>45121518</v>
      </c>
      <c r="B1714" s="64" t="str">
        <f ca="1">IFERROR(INDEX(UNSPSCDes,MATCH(INDIRECT(ADDRESS(ROW(),COLUMN()-1,4)),UNSPSCCode,0)),"")</f>
        <v>Kits de cámaras</v>
      </c>
      <c r="C1714" s="63" t="s">
        <v>1449</v>
      </c>
      <c r="D1714" s="63">
        <v>1</v>
      </c>
      <c r="E1714" s="66">
        <v>325000</v>
      </c>
      <c r="F1714" s="65">
        <f ca="1">INDIRECT(ADDRESS(ROW(),COLUMN()-2,4))*INDIRECT(ADDRESS(ROW(),COLUMN()-1,4))</f>
        <v>325000</v>
      </c>
      <c r="G1714" s="5"/>
      <c r="H1714" s="5"/>
      <c r="I1714" s="5"/>
      <c r="J1714" s="5"/>
    </row>
    <row r="1715" spans="1:10" ht="14.1" customHeight="1" x14ac:dyDescent="0.2">
      <c r="A1715" s="5"/>
      <c r="B1715" s="5"/>
      <c r="C1715" s="5"/>
      <c r="D1715" s="5"/>
      <c r="E1715" s="68" t="s">
        <v>12549</v>
      </c>
      <c r="F1715" s="69">
        <f ca="1">SUM(Table316[MONTO TOTAL ESTIMADO])</f>
        <v>325000</v>
      </c>
      <c r="G1715" s="5"/>
      <c r="H1715" s="5" t="str">
        <f>C1707</f>
        <v>Bienes</v>
      </c>
      <c r="I1715" s="5" t="str">
        <f>E1707</f>
        <v>No</v>
      </c>
      <c r="J1715" s="5" t="str">
        <f>D1707</f>
        <v>Compras Menores</v>
      </c>
    </row>
    <row r="1716" spans="1:10" ht="14.1" customHeight="1" thickBot="1" x14ac:dyDescent="0.3"/>
    <row r="1717" spans="1:10" ht="33.75" customHeight="1" thickBot="1" x14ac:dyDescent="0.25">
      <c r="A1717" s="59" t="s">
        <v>16382</v>
      </c>
      <c r="B1717" s="59" t="s">
        <v>161</v>
      </c>
      <c r="C1717" s="59" t="s">
        <v>11723</v>
      </c>
      <c r="D1717" s="59" t="s">
        <v>14377</v>
      </c>
      <c r="E1717" s="59" t="s">
        <v>10961</v>
      </c>
      <c r="F1717" s="59" t="s">
        <v>11094</v>
      </c>
      <c r="G1717" s="5"/>
      <c r="H1717" s="5"/>
      <c r="I1717" s="5"/>
      <c r="J1717" s="5"/>
    </row>
    <row r="1718" spans="1:10" ht="13.5" customHeight="1" thickBot="1" x14ac:dyDescent="0.25">
      <c r="A1718" s="61" t="s">
        <v>18916</v>
      </c>
      <c r="B1718" s="61" t="s">
        <v>18922</v>
      </c>
      <c r="C1718" s="61" t="s">
        <v>17798</v>
      </c>
      <c r="D1718" s="61" t="s">
        <v>17483</v>
      </c>
      <c r="E1718" s="61" t="s">
        <v>17854</v>
      </c>
      <c r="F1718" s="61"/>
      <c r="G1718" s="5"/>
      <c r="H1718" s="5"/>
      <c r="I1718" s="5"/>
      <c r="J1718" s="5"/>
    </row>
    <row r="1719" spans="1:10" ht="14.1" customHeight="1" thickBot="1" x14ac:dyDescent="0.25">
      <c r="A1719" s="82" t="s">
        <v>14828</v>
      </c>
      <c r="B1719" s="62" t="s">
        <v>8528</v>
      </c>
      <c r="C1719" s="71">
        <v>44378</v>
      </c>
      <c r="D1719" s="82" t="s">
        <v>9385</v>
      </c>
      <c r="E1719" s="62" t="s">
        <v>13092</v>
      </c>
      <c r="F1719" s="61" t="s">
        <v>3080</v>
      </c>
      <c r="G1719" s="5"/>
      <c r="H1719" s="5"/>
      <c r="I1719" s="5"/>
      <c r="J1719" s="5"/>
    </row>
    <row r="1720" spans="1:10" ht="14.1" customHeight="1" thickBot="1" x14ac:dyDescent="0.25">
      <c r="A1720" s="83"/>
      <c r="B1720" s="62" t="s">
        <v>1786</v>
      </c>
      <c r="C1720" s="60">
        <f>IF(C1719="","",IF(AND(MONTH(C1719)&gt;=1,MONTH(C1719)&lt;=3),1,IF(AND(MONTH(C1719)&gt;=4,MONTH(C1719)&lt;=6),2,IF(AND(MONTH(C1719)&gt;=7,MONTH(C1719)&lt;=9),3,4))))</f>
        <v>3</v>
      </c>
      <c r="D1720" s="83"/>
      <c r="E1720" s="62" t="s">
        <v>2417</v>
      </c>
      <c r="F1720" s="61" t="s">
        <v>11111</v>
      </c>
      <c r="G1720" s="5"/>
      <c r="H1720" s="5"/>
      <c r="I1720" s="5"/>
      <c r="J1720" s="5"/>
    </row>
    <row r="1721" spans="1:10" ht="14.1" customHeight="1" thickBot="1" x14ac:dyDescent="0.25">
      <c r="A1721" s="83"/>
      <c r="B1721" s="62" t="s">
        <v>12941</v>
      </c>
      <c r="C1721" s="71">
        <v>44392</v>
      </c>
      <c r="D1721" s="83"/>
      <c r="E1721" s="62" t="s">
        <v>3073</v>
      </c>
      <c r="F1721" s="61" t="s">
        <v>11111</v>
      </c>
      <c r="G1721" s="5"/>
      <c r="H1721" s="5"/>
      <c r="I1721" s="5"/>
      <c r="J1721" s="5"/>
    </row>
    <row r="1722" spans="1:10" ht="14.1" customHeight="1" thickBot="1" x14ac:dyDescent="0.25">
      <c r="A1722" s="83"/>
      <c r="B1722" s="62" t="s">
        <v>1786</v>
      </c>
      <c r="C1722" s="60">
        <f>IF(C1721="","",IF(AND(MONTH(C1721)&gt;=1,MONTH(C1721)&lt;=3),1,IF(AND(MONTH(C1721)&gt;=4,MONTH(C1721)&lt;=6),2,IF(AND(MONTH(C1721)&gt;=7,MONTH(C1721)&lt;=9),3,4))))</f>
        <v>3</v>
      </c>
      <c r="D1722" s="83"/>
      <c r="E1722" s="62" t="s">
        <v>13191</v>
      </c>
      <c r="F1722" s="61" t="s">
        <v>11111</v>
      </c>
      <c r="G1722" s="5"/>
      <c r="H1722" s="5"/>
      <c r="I1722" s="5"/>
      <c r="J1722" s="5"/>
    </row>
    <row r="1723" spans="1:10" ht="14.1" customHeight="1" thickBot="1" x14ac:dyDescent="0.25">
      <c r="A1723" s="5"/>
      <c r="B1723" s="5"/>
      <c r="C1723" s="5"/>
      <c r="D1723" s="5"/>
      <c r="E1723" s="5"/>
      <c r="F1723" s="5"/>
      <c r="G1723" s="5"/>
      <c r="H1723" s="5"/>
      <c r="I1723" s="5"/>
      <c r="J1723" s="5"/>
    </row>
    <row r="1724" spans="1:10" ht="14.1" customHeight="1" thickBot="1" x14ac:dyDescent="0.25">
      <c r="A1724" s="67" t="s">
        <v>15735</v>
      </c>
      <c r="B1724" s="67" t="s">
        <v>16146</v>
      </c>
      <c r="C1724" s="67" t="s">
        <v>15641</v>
      </c>
      <c r="D1724" s="67" t="s">
        <v>15251</v>
      </c>
      <c r="E1724" s="67" t="s">
        <v>6932</v>
      </c>
      <c r="F1724" s="67" t="s">
        <v>15280</v>
      </c>
      <c r="G1724" s="5"/>
      <c r="H1724" s="5"/>
      <c r="I1724" s="5"/>
      <c r="J1724" s="5"/>
    </row>
    <row r="1725" spans="1:10" ht="13.5" customHeight="1" x14ac:dyDescent="0.2">
      <c r="A1725" s="77">
        <v>45121518</v>
      </c>
      <c r="B1725" s="64" t="str">
        <f ca="1">IFERROR(INDEX(UNSPSCDes,MATCH(INDIRECT(ADDRESS(ROW(),COLUMN()-1,4)),UNSPSCCode,0)),"")</f>
        <v>Kits de cámaras</v>
      </c>
      <c r="C1725" s="63" t="s">
        <v>1449</v>
      </c>
      <c r="D1725" s="63">
        <v>1</v>
      </c>
      <c r="E1725" s="66">
        <v>325000</v>
      </c>
      <c r="F1725" s="65">
        <f ca="1">INDIRECT(ADDRESS(ROW(),COLUMN()-2,4))*INDIRECT(ADDRESS(ROW(),COLUMN()-1,4))</f>
        <v>325000</v>
      </c>
      <c r="G1725" s="5"/>
      <c r="H1725" s="5"/>
      <c r="I1725" s="5"/>
      <c r="J1725" s="5"/>
    </row>
    <row r="1726" spans="1:10" ht="14.1" customHeight="1" x14ac:dyDescent="0.2">
      <c r="A1726" s="5"/>
      <c r="B1726" s="5"/>
      <c r="C1726" s="5"/>
      <c r="D1726" s="5"/>
      <c r="E1726" s="68" t="s">
        <v>12549</v>
      </c>
      <c r="F1726" s="69">
        <f ca="1">SUM(Table395[MONTO TOTAL ESTIMADO])</f>
        <v>325000</v>
      </c>
      <c r="G1726" s="5"/>
      <c r="H1726" s="5" t="str">
        <f>C1718</f>
        <v>Bienes</v>
      </c>
      <c r="I1726" s="5" t="str">
        <f>E1718</f>
        <v>No</v>
      </c>
      <c r="J1726" s="5" t="str">
        <f>D1718</f>
        <v>Compras Menores</v>
      </c>
    </row>
    <row r="1727" spans="1:10" ht="14.1" customHeight="1" thickBot="1" x14ac:dyDescent="0.3"/>
    <row r="1728" spans="1:10" ht="33.75" customHeight="1" thickBot="1" x14ac:dyDescent="0.25">
      <c r="A1728" s="59" t="s">
        <v>16382</v>
      </c>
      <c r="B1728" s="59" t="s">
        <v>161</v>
      </c>
      <c r="C1728" s="59" t="s">
        <v>11723</v>
      </c>
      <c r="D1728" s="59" t="s">
        <v>14377</v>
      </c>
      <c r="E1728" s="59" t="s">
        <v>10961</v>
      </c>
      <c r="F1728" s="59" t="s">
        <v>11094</v>
      </c>
      <c r="G1728" s="5"/>
      <c r="H1728" s="5"/>
      <c r="I1728" s="5"/>
      <c r="J1728" s="5"/>
    </row>
    <row r="1729" spans="1:10" ht="13.5" customHeight="1" thickBot="1" x14ac:dyDescent="0.25">
      <c r="A1729" s="61" t="s">
        <v>18916</v>
      </c>
      <c r="B1729" s="61" t="s">
        <v>18922</v>
      </c>
      <c r="C1729" s="61" t="s">
        <v>17798</v>
      </c>
      <c r="D1729" s="61" t="s">
        <v>17483</v>
      </c>
      <c r="E1729" s="61" t="s">
        <v>17854</v>
      </c>
      <c r="F1729" s="61"/>
      <c r="G1729" s="5"/>
      <c r="H1729" s="5"/>
      <c r="I1729" s="5"/>
      <c r="J1729" s="5"/>
    </row>
    <row r="1730" spans="1:10" ht="14.1" customHeight="1" thickBot="1" x14ac:dyDescent="0.25">
      <c r="A1730" s="82" t="s">
        <v>14828</v>
      </c>
      <c r="B1730" s="62" t="s">
        <v>8528</v>
      </c>
      <c r="C1730" s="71">
        <v>44470</v>
      </c>
      <c r="D1730" s="82" t="s">
        <v>9385</v>
      </c>
      <c r="E1730" s="62" t="s">
        <v>13092</v>
      </c>
      <c r="F1730" s="61" t="s">
        <v>3080</v>
      </c>
      <c r="G1730" s="5"/>
      <c r="H1730" s="5"/>
      <c r="I1730" s="5"/>
      <c r="J1730" s="5"/>
    </row>
    <row r="1731" spans="1:10" ht="14.1" customHeight="1" thickBot="1" x14ac:dyDescent="0.25">
      <c r="A1731" s="83"/>
      <c r="B1731" s="62" t="s">
        <v>1786</v>
      </c>
      <c r="C1731" s="60">
        <f>IF(C1730="","",IF(AND(MONTH(C1730)&gt;=1,MONTH(C1730)&lt;=3),1,IF(AND(MONTH(C1730)&gt;=4,MONTH(C1730)&lt;=6),2,IF(AND(MONTH(C1730)&gt;=7,MONTH(C1730)&lt;=9),3,4))))</f>
        <v>4</v>
      </c>
      <c r="D1731" s="83"/>
      <c r="E1731" s="62" t="s">
        <v>2417</v>
      </c>
      <c r="F1731" s="61" t="s">
        <v>11111</v>
      </c>
      <c r="G1731" s="5"/>
      <c r="H1731" s="5"/>
      <c r="I1731" s="5"/>
      <c r="J1731" s="5"/>
    </row>
    <row r="1732" spans="1:10" ht="14.1" customHeight="1" thickBot="1" x14ac:dyDescent="0.25">
      <c r="A1732" s="83"/>
      <c r="B1732" s="62" t="s">
        <v>12941</v>
      </c>
      <c r="C1732" s="71">
        <v>44484</v>
      </c>
      <c r="D1732" s="83"/>
      <c r="E1732" s="62" t="s">
        <v>3073</v>
      </c>
      <c r="F1732" s="61" t="s">
        <v>11111</v>
      </c>
      <c r="G1732" s="5"/>
      <c r="H1732" s="5"/>
      <c r="I1732" s="5"/>
      <c r="J1732" s="5"/>
    </row>
    <row r="1733" spans="1:10" ht="14.1" customHeight="1" thickBot="1" x14ac:dyDescent="0.25">
      <c r="A1733" s="83"/>
      <c r="B1733" s="62" t="s">
        <v>1786</v>
      </c>
      <c r="C1733" s="60">
        <f>IF(C1732="","",IF(AND(MONTH(C1732)&gt;=1,MONTH(C1732)&lt;=3),1,IF(AND(MONTH(C1732)&gt;=4,MONTH(C1732)&lt;=6),2,IF(AND(MONTH(C1732)&gt;=7,MONTH(C1732)&lt;=9),3,4))))</f>
        <v>4</v>
      </c>
      <c r="D1733" s="83"/>
      <c r="E1733" s="62" t="s">
        <v>13191</v>
      </c>
      <c r="F1733" s="61" t="s">
        <v>11111</v>
      </c>
      <c r="G1733" s="5"/>
      <c r="H1733" s="5"/>
      <c r="I1733" s="5"/>
      <c r="J1733" s="5"/>
    </row>
    <row r="1734" spans="1:10" ht="14.1" customHeight="1" thickBot="1" x14ac:dyDescent="0.25">
      <c r="A1734" s="5"/>
      <c r="B1734" s="5"/>
      <c r="C1734" s="5"/>
      <c r="D1734" s="5"/>
      <c r="E1734" s="5"/>
      <c r="F1734" s="5"/>
      <c r="G1734" s="5"/>
      <c r="H1734" s="5"/>
      <c r="I1734" s="5"/>
      <c r="J1734" s="5"/>
    </row>
    <row r="1735" spans="1:10" ht="14.1" customHeight="1" thickBot="1" x14ac:dyDescent="0.25">
      <c r="A1735" s="67" t="s">
        <v>15735</v>
      </c>
      <c r="B1735" s="67" t="s">
        <v>16146</v>
      </c>
      <c r="C1735" s="67" t="s">
        <v>15641</v>
      </c>
      <c r="D1735" s="67" t="s">
        <v>15251</v>
      </c>
      <c r="E1735" s="67" t="s">
        <v>6932</v>
      </c>
      <c r="F1735" s="67" t="s">
        <v>15280</v>
      </c>
      <c r="G1735" s="5"/>
      <c r="H1735" s="5"/>
      <c r="I1735" s="5"/>
      <c r="J1735" s="5"/>
    </row>
    <row r="1736" spans="1:10" ht="13.5" customHeight="1" x14ac:dyDescent="0.2">
      <c r="A1736" s="77">
        <v>45121518</v>
      </c>
      <c r="B1736" s="64" t="str">
        <f ca="1">IFERROR(INDEX(UNSPSCDes,MATCH(INDIRECT(ADDRESS(ROW(),COLUMN()-1,4)),UNSPSCCode,0)),"")</f>
        <v>Kits de cámaras</v>
      </c>
      <c r="C1736" s="63" t="s">
        <v>1449</v>
      </c>
      <c r="D1736" s="63">
        <v>1</v>
      </c>
      <c r="E1736" s="66">
        <v>325000</v>
      </c>
      <c r="F1736" s="65">
        <f ca="1">INDIRECT(ADDRESS(ROW(),COLUMN()-2,4))*INDIRECT(ADDRESS(ROW(),COLUMN()-1,4))</f>
        <v>325000</v>
      </c>
      <c r="G1736" s="5"/>
      <c r="H1736" s="5"/>
      <c r="I1736" s="5"/>
      <c r="J1736" s="5"/>
    </row>
    <row r="1737" spans="1:10" ht="14.1" customHeight="1" x14ac:dyDescent="0.2">
      <c r="A1737" s="5"/>
      <c r="B1737" s="5"/>
      <c r="C1737" s="5"/>
      <c r="D1737" s="5"/>
      <c r="E1737" s="68" t="s">
        <v>12549</v>
      </c>
      <c r="F1737" s="69">
        <f ca="1">SUM(Table3148[MONTO TOTAL ESTIMADO])</f>
        <v>325000</v>
      </c>
      <c r="G1737" s="5"/>
      <c r="H1737" s="5" t="str">
        <f>C1729</f>
        <v>Bienes</v>
      </c>
      <c r="I1737" s="5" t="str">
        <f>E1729</f>
        <v>No</v>
      </c>
      <c r="J1737" s="5" t="str">
        <f>D1729</f>
        <v>Compras Menores</v>
      </c>
    </row>
  </sheetData>
  <sheetProtection algorithmName="SHA-512" hashValue="IVi+SJ9199pDh8YTHYxR8I3dBfy2G41/bi5o4urok/DG+oxPZdHWskiFF08TqVxzt0SKSMy+QyN0lUwZ3sgSZw==" saltValue="/nWiKdns+Dm8rkUIRRux5w==" spinCount="100000" sheet="1" objects="1" scenarios="1"/>
  <protectedRanges>
    <protectedRange sqref="F5:G5" name="Rango3"/>
    <protectedRange sqref="E11:E12" name="Rango2"/>
  </protectedRanges>
  <mergeCells count="312">
    <mergeCell ref="A1621:A1624"/>
    <mergeCell ref="D1621:D1624"/>
    <mergeCell ref="A1588:A1591"/>
    <mergeCell ref="D1588:D1591"/>
    <mergeCell ref="A1599:A1602"/>
    <mergeCell ref="D1599:D1602"/>
    <mergeCell ref="A1610:A1613"/>
    <mergeCell ref="D1610:D1613"/>
    <mergeCell ref="A1686:A1689"/>
    <mergeCell ref="D1686:D1689"/>
    <mergeCell ref="A1643:A1646"/>
    <mergeCell ref="D1643:D1646"/>
    <mergeCell ref="A1657:A1660"/>
    <mergeCell ref="D1657:D1660"/>
    <mergeCell ref="A1673:A1676"/>
    <mergeCell ref="D1673:D1676"/>
    <mergeCell ref="A1632:A1635"/>
    <mergeCell ref="D1632:D1635"/>
    <mergeCell ref="A1549:A1552"/>
    <mergeCell ref="D1549:D1552"/>
    <mergeCell ref="A1561:A1564"/>
    <mergeCell ref="D1561:D1564"/>
    <mergeCell ref="A1577:A1580"/>
    <mergeCell ref="D1577:D1580"/>
    <mergeCell ref="A1516:A1519"/>
    <mergeCell ref="D1516:D1519"/>
    <mergeCell ref="A1527:A1530"/>
    <mergeCell ref="D1527:D1530"/>
    <mergeCell ref="A1538:A1541"/>
    <mergeCell ref="D1538:D1541"/>
    <mergeCell ref="A1483:A1486"/>
    <mergeCell ref="D1483:D1486"/>
    <mergeCell ref="A1494:A1497"/>
    <mergeCell ref="D1494:D1497"/>
    <mergeCell ref="A1505:A1508"/>
    <mergeCell ref="D1505:D1508"/>
    <mergeCell ref="A1450:A1453"/>
    <mergeCell ref="D1450:D1453"/>
    <mergeCell ref="A1461:A1464"/>
    <mergeCell ref="D1461:D1464"/>
    <mergeCell ref="A1472:A1475"/>
    <mergeCell ref="D1472:D1475"/>
    <mergeCell ref="A1417:A1420"/>
    <mergeCell ref="D1417:D1420"/>
    <mergeCell ref="A1428:A1431"/>
    <mergeCell ref="D1428:D1431"/>
    <mergeCell ref="A1439:A1442"/>
    <mergeCell ref="D1439:D1442"/>
    <mergeCell ref="A1384:A1387"/>
    <mergeCell ref="D1384:D1387"/>
    <mergeCell ref="A1395:A1398"/>
    <mergeCell ref="D1395:D1398"/>
    <mergeCell ref="A1406:A1409"/>
    <mergeCell ref="D1406:D1409"/>
    <mergeCell ref="A1350:A1353"/>
    <mergeCell ref="D1350:D1353"/>
    <mergeCell ref="A1362:A1365"/>
    <mergeCell ref="D1362:D1365"/>
    <mergeCell ref="A1373:A1376"/>
    <mergeCell ref="D1373:D1376"/>
    <mergeCell ref="A1317:A1320"/>
    <mergeCell ref="D1317:D1320"/>
    <mergeCell ref="A1328:A1331"/>
    <mergeCell ref="D1328:D1331"/>
    <mergeCell ref="A1339:A1342"/>
    <mergeCell ref="D1339:D1342"/>
    <mergeCell ref="A1284:A1287"/>
    <mergeCell ref="D1284:D1287"/>
    <mergeCell ref="A1295:A1298"/>
    <mergeCell ref="D1295:D1298"/>
    <mergeCell ref="A1306:A1309"/>
    <mergeCell ref="D1306:D1309"/>
    <mergeCell ref="A1250:A1253"/>
    <mergeCell ref="D1250:D1253"/>
    <mergeCell ref="A1262:A1265"/>
    <mergeCell ref="D1262:D1265"/>
    <mergeCell ref="A1273:A1276"/>
    <mergeCell ref="D1273:D1276"/>
    <mergeCell ref="A1214:A1217"/>
    <mergeCell ref="D1214:D1217"/>
    <mergeCell ref="A1226:A1229"/>
    <mergeCell ref="D1226:D1229"/>
    <mergeCell ref="A1238:A1241"/>
    <mergeCell ref="D1238:D1241"/>
    <mergeCell ref="A1181:A1184"/>
    <mergeCell ref="D1181:D1184"/>
    <mergeCell ref="A1192:A1195"/>
    <mergeCell ref="D1192:D1195"/>
    <mergeCell ref="A1203:A1206"/>
    <mergeCell ref="D1203:D1206"/>
    <mergeCell ref="A1147:A1150"/>
    <mergeCell ref="D1147:D1150"/>
    <mergeCell ref="A1158:A1161"/>
    <mergeCell ref="D1158:D1161"/>
    <mergeCell ref="A1169:A1172"/>
    <mergeCell ref="D1169:D1172"/>
    <mergeCell ref="A1114:A1117"/>
    <mergeCell ref="D1114:D1117"/>
    <mergeCell ref="A1125:A1128"/>
    <mergeCell ref="D1125:D1128"/>
    <mergeCell ref="A1136:A1139"/>
    <mergeCell ref="D1136:D1139"/>
    <mergeCell ref="A1081:A1084"/>
    <mergeCell ref="D1081:D1084"/>
    <mergeCell ref="A1092:A1095"/>
    <mergeCell ref="D1092:D1095"/>
    <mergeCell ref="A1103:A1106"/>
    <mergeCell ref="D1103:D1106"/>
    <mergeCell ref="A1048:A1051"/>
    <mergeCell ref="D1048:D1051"/>
    <mergeCell ref="A1059:A1062"/>
    <mergeCell ref="D1059:D1062"/>
    <mergeCell ref="A1070:A1073"/>
    <mergeCell ref="D1070:D1073"/>
    <mergeCell ref="A1026:A1029"/>
    <mergeCell ref="D1026:D1029"/>
    <mergeCell ref="A1037:A1040"/>
    <mergeCell ref="D1037:D1040"/>
    <mergeCell ref="A993:A996"/>
    <mergeCell ref="D993:D996"/>
    <mergeCell ref="A1004:A1007"/>
    <mergeCell ref="D1004:D1007"/>
    <mergeCell ref="A1015:A1018"/>
    <mergeCell ref="D1015:D1018"/>
    <mergeCell ref="A960:A963"/>
    <mergeCell ref="D960:D963"/>
    <mergeCell ref="A971:A974"/>
    <mergeCell ref="D971:D974"/>
    <mergeCell ref="A982:A985"/>
    <mergeCell ref="D982:D985"/>
    <mergeCell ref="A927:A930"/>
    <mergeCell ref="D927:D930"/>
    <mergeCell ref="A938:A941"/>
    <mergeCell ref="D938:D941"/>
    <mergeCell ref="A949:A952"/>
    <mergeCell ref="D949:D952"/>
    <mergeCell ref="A892:A895"/>
    <mergeCell ref="D892:D895"/>
    <mergeCell ref="A904:A907"/>
    <mergeCell ref="D904:D907"/>
    <mergeCell ref="A916:A919"/>
    <mergeCell ref="D916:D919"/>
    <mergeCell ref="A859:A862"/>
    <mergeCell ref="D859:D862"/>
    <mergeCell ref="A870:A873"/>
    <mergeCell ref="D870:D873"/>
    <mergeCell ref="A881:A884"/>
    <mergeCell ref="D881:D884"/>
    <mergeCell ref="A821:A824"/>
    <mergeCell ref="D821:D824"/>
    <mergeCell ref="A837:A840"/>
    <mergeCell ref="D837:D840"/>
    <mergeCell ref="A848:A851"/>
    <mergeCell ref="D848:D851"/>
    <mergeCell ref="A777:A780"/>
    <mergeCell ref="D777:D780"/>
    <mergeCell ref="A791:A794"/>
    <mergeCell ref="D791:D794"/>
    <mergeCell ref="A807:A810"/>
    <mergeCell ref="D807:D810"/>
    <mergeCell ref="A740:A743"/>
    <mergeCell ref="D740:D743"/>
    <mergeCell ref="A753:A756"/>
    <mergeCell ref="D753:D756"/>
    <mergeCell ref="A765:A768"/>
    <mergeCell ref="D765:D768"/>
    <mergeCell ref="A707:A710"/>
    <mergeCell ref="D707:D710"/>
    <mergeCell ref="A718:A721"/>
    <mergeCell ref="D718:D721"/>
    <mergeCell ref="A729:A732"/>
    <mergeCell ref="D729:D732"/>
    <mergeCell ref="A674:A677"/>
    <mergeCell ref="D674:D677"/>
    <mergeCell ref="A685:A688"/>
    <mergeCell ref="D685:D688"/>
    <mergeCell ref="A696:A699"/>
    <mergeCell ref="D696:D699"/>
    <mergeCell ref="A641:A644"/>
    <mergeCell ref="D641:D644"/>
    <mergeCell ref="A652:A655"/>
    <mergeCell ref="D652:D655"/>
    <mergeCell ref="A663:A666"/>
    <mergeCell ref="D663:D666"/>
    <mergeCell ref="A605:A608"/>
    <mergeCell ref="D605:D608"/>
    <mergeCell ref="A617:A620"/>
    <mergeCell ref="D617:D620"/>
    <mergeCell ref="A629:A632"/>
    <mergeCell ref="D629:D632"/>
    <mergeCell ref="A571:A574"/>
    <mergeCell ref="D571:D574"/>
    <mergeCell ref="A582:A585"/>
    <mergeCell ref="D582:D585"/>
    <mergeCell ref="A593:A596"/>
    <mergeCell ref="D593:D596"/>
    <mergeCell ref="A538:A541"/>
    <mergeCell ref="D538:D541"/>
    <mergeCell ref="A549:A552"/>
    <mergeCell ref="D549:D552"/>
    <mergeCell ref="A560:A563"/>
    <mergeCell ref="D560:D563"/>
    <mergeCell ref="A505:A508"/>
    <mergeCell ref="D505:D508"/>
    <mergeCell ref="A516:A519"/>
    <mergeCell ref="D516:D519"/>
    <mergeCell ref="A527:A530"/>
    <mergeCell ref="D527:D530"/>
    <mergeCell ref="A472:A475"/>
    <mergeCell ref="D472:D475"/>
    <mergeCell ref="A483:A486"/>
    <mergeCell ref="D483:D486"/>
    <mergeCell ref="A494:A497"/>
    <mergeCell ref="D494:D497"/>
    <mergeCell ref="A439:A442"/>
    <mergeCell ref="D439:D442"/>
    <mergeCell ref="A450:A453"/>
    <mergeCell ref="D450:D453"/>
    <mergeCell ref="A461:A464"/>
    <mergeCell ref="D461:D464"/>
    <mergeCell ref="A406:A409"/>
    <mergeCell ref="D406:D409"/>
    <mergeCell ref="A417:A420"/>
    <mergeCell ref="D417:D420"/>
    <mergeCell ref="A428:A431"/>
    <mergeCell ref="D428:D431"/>
    <mergeCell ref="A373:A376"/>
    <mergeCell ref="D373:D376"/>
    <mergeCell ref="A384:A387"/>
    <mergeCell ref="D384:D387"/>
    <mergeCell ref="A395:A398"/>
    <mergeCell ref="D395:D398"/>
    <mergeCell ref="A340:A343"/>
    <mergeCell ref="D340:D343"/>
    <mergeCell ref="A351:A354"/>
    <mergeCell ref="D351:D354"/>
    <mergeCell ref="A362:A365"/>
    <mergeCell ref="D362:D365"/>
    <mergeCell ref="A307:A310"/>
    <mergeCell ref="D307:D310"/>
    <mergeCell ref="A318:A321"/>
    <mergeCell ref="D318:D321"/>
    <mergeCell ref="A329:A332"/>
    <mergeCell ref="D329:D332"/>
    <mergeCell ref="A274:A277"/>
    <mergeCell ref="D274:D277"/>
    <mergeCell ref="A285:A288"/>
    <mergeCell ref="D285:D288"/>
    <mergeCell ref="A296:A299"/>
    <mergeCell ref="D296:D299"/>
    <mergeCell ref="A241:A244"/>
    <mergeCell ref="D241:D244"/>
    <mergeCell ref="A252:A255"/>
    <mergeCell ref="D252:D255"/>
    <mergeCell ref="A263:A266"/>
    <mergeCell ref="D263:D266"/>
    <mergeCell ref="A208:A211"/>
    <mergeCell ref="D208:D211"/>
    <mergeCell ref="A219:A222"/>
    <mergeCell ref="D219:D222"/>
    <mergeCell ref="A230:A233"/>
    <mergeCell ref="D230:D233"/>
    <mergeCell ref="A171:A174"/>
    <mergeCell ref="D171:D174"/>
    <mergeCell ref="A184:A187"/>
    <mergeCell ref="D184:D187"/>
    <mergeCell ref="A197:A200"/>
    <mergeCell ref="D197:D200"/>
    <mergeCell ref="D121:D124"/>
    <mergeCell ref="A133:A136"/>
    <mergeCell ref="D133:D136"/>
    <mergeCell ref="A145:A148"/>
    <mergeCell ref="D145:D148"/>
    <mergeCell ref="A86:A89"/>
    <mergeCell ref="D86:D89"/>
    <mergeCell ref="A99:A102"/>
    <mergeCell ref="D99:D102"/>
    <mergeCell ref="A110:A113"/>
    <mergeCell ref="D110:D113"/>
    <mergeCell ref="A1:A4"/>
    <mergeCell ref="E6:F6"/>
    <mergeCell ref="E7:F7"/>
    <mergeCell ref="B2:E2"/>
    <mergeCell ref="B3:E3"/>
    <mergeCell ref="E9:F9"/>
    <mergeCell ref="E8:F8"/>
    <mergeCell ref="E10:F10"/>
    <mergeCell ref="E11:F11"/>
    <mergeCell ref="E12:F12"/>
    <mergeCell ref="A1697:A1700"/>
    <mergeCell ref="D1697:D1700"/>
    <mergeCell ref="A1708:A1711"/>
    <mergeCell ref="D1708:D1711"/>
    <mergeCell ref="A1719:A1722"/>
    <mergeCell ref="D1719:D1722"/>
    <mergeCell ref="A1730:A1733"/>
    <mergeCell ref="D1730:D1733"/>
    <mergeCell ref="A51:A54"/>
    <mergeCell ref="D51:D54"/>
    <mergeCell ref="A62:A65"/>
    <mergeCell ref="D62:D65"/>
    <mergeCell ref="A73:A76"/>
    <mergeCell ref="D73:D76"/>
    <mergeCell ref="A17:A20"/>
    <mergeCell ref="D17:D20"/>
    <mergeCell ref="A28:A31"/>
    <mergeCell ref="D28:D31"/>
    <mergeCell ref="A39:A42"/>
    <mergeCell ref="D39:D42"/>
    <mergeCell ref="A158:A161"/>
    <mergeCell ref="D158:D161"/>
    <mergeCell ref="A121:A12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1 C62 C73 C86 C99 C110 C121 C133 C145 C158 C171 C184 C197 C208 C219 C230 C241 C252 C263 C274 C285 C296 C307 C318 C329 C340 C351 C362 C373 C384 C395 C406 C417 C428 C439 C450 C461 C472 C483 C494 C505 C516 C527 C538 C549 C560 C571 C582 C593 C605 C617 C629 C641 C652 C663 C674 C685 C696 C707 C718 C729 C740 C753 C765 C777 C791 C807 C821 C837 C848 C859 C870 C881 C892 C904 C916 C927 C938 C949 C960 C971 C982 C993 C1004 C1015 C1026 C1037 C1048 C1059 C1070 C1081 C1092 C1103 C1114 C1125 C1136 C1147 C1158 C1169 C1181 C1192 C1203 C1214 C1226 C1238 C1250 C1262 C1273 C1284 C1295 C1306 C1317 C1328 C1339 C1350 C1362 C1373 C1384 C1395 C1406 C1417 C1428 C1439 C1450 C1461 C1472 C1483 C1494 C1505 C1516 C1527 C1538 C1549 C1561 C1577 C1588 C1599 C1610 C1621 C1632 C1643 C1657 C1673 C1686 C1697 C1708 C1719 C1730" xr:uid="{00000000-0002-0000-0100-000006000000}">
      <formula1>C19</formula1>
    </dataValidation>
    <dataValidation type="date" operator="greaterThanOrEqual" allowBlank="1" showInputMessage="1" showErrorMessage="1" sqref="C19 C30 C41 C53 C64 C75 C88 C101 C112 C123 C135 C147 C160 C173 C186 C199 C210 C221 C232 C243 C254 C265 C276 C287 C298 C309 C320 C331 C342 C353 C364 C375 C386 C397 C408 C419 C430 C441 C452 C463 C474 C485 C496 C507 C518 C529 C540 C551 C562 C573 C584 C595 C607 C619 C631 C643 C654 C665 C676 C687 C698 C709 C720 C731 C742 C755 C767 C779 C793 C809 C823 C839 C850 C861 C872 C883 C894 C906 C918 C929 C940 C951 C962 C973 C984 C995 C1006 C1017 C1028 C1039 C1050 C1061 C1072 C1083 C1094 C1105 C1116 C1127 C1138 C1149 C1160 C1171 C1183 C1194 C1205 C1216 C1228 C1240 C1252 C1264 C1275 C1286 C1297 C1308 C1319 C1330 C1341 C1352 C1364 C1375 C1386 C1397 C1408 C1419 C1430 C1441 C1452 C1463 C1474 C1485 C1496 C1507 C1518 C1529 C1540 C1551 C1563 C1579 C1590 C1601 C1612 C1623 C1634 C1645 C1659 C1675 C1688 C1699 C1710 C1721 C1732" xr:uid="{00000000-0002-0000-0100-000007000000}">
      <formula1>C17</formula1>
    </dataValidation>
    <dataValidation type="list" allowBlank="1" showInputMessage="1" showErrorMessage="1" sqref="F17 F28 F39 F51 F62 F73 F86 F99 F110 F121 F133 F145 F158 F171 F184 F197 F208 F219 F230 F241 F252 F263 F274 F285 F296 F307 F318 F329 F340 F351 F362 F373 F384 F395 F406 F417 F428 F439 F450 F461 F472 F483 F494 F505 F516 F527 F538 F549 F560 F571 F582 F593 F605 F617 F629 F641 F652 F663 F674 F685 F696 F707 F718 F729 F740 F753 F765 F777 F791 F807 F821 F837 F848 F859 F870 F881 F892 F904 F916 F927 F938 F949 F960 F971 F982 F993 F1004 F1015 F1026 F1037 F1048 F1059 F1070 F1081 F1092 F1103 F1114 F1125 F1136 F1147 F1158 F1169 F1181 F1192 F1203 F1214 F1226 F1238 F1250 F1262 F1273 F1284 F1295 F1306 F1317 F1328 F1339 F1350 F1362 F1373 F1384 F1395 F1406 F1417 F1428 F1439 F1450 F1461 F1472 F1483 F1494 F1505 F1516 F1527 F1538 F1549 F1561 F1577 F1588 F1599 F1610 F1621 F1632 F1643 F1657 F1673 F1686 F1697 F1708 F1719 F1730" xr:uid="{00000000-0002-0000-0100-000008000000}">
      <formula1>IF(INDIRECT(ADDRESS(ROW()+1,COLUMN(),4))="",RegionList,INDEX(RegionColumn,MATCH(INDIRECT(ADDRESS(ROW()+1,COLUMN(),4)),ProvinciaList,0)))</formula1>
    </dataValidation>
    <dataValidation type="list" allowBlank="1" showInputMessage="1" showErrorMessage="1" sqref="F18 F29 F40 F52 F63 F74 F87 F100 F111 F122 F134 F146 F159 F172 F185 F198 F209 F220 F231 F242 F253 F264 F275 F286 F297 F308 F319 F330 F341 F352 F363 F374 F385 F396 F407 F418 F429 F440 F451 F462 F473 F484 F495 F506 F517 F528 F539 F550 F561 F572 F583 F594 F606 F618 F630 F642 F653 F664 F675 F686 F697 F708 F719 F730 F741 F754 F766 F778 F792 F808 F822 F838 F849 F860 F871 F882 F893 F905 F917 F928 F939 F950 F961 F972 F983 F994 F1005 F1016 F1027 F1038 F1049 F1060 F1071 F1082 F1093 F1104 F1115 F1126 F1137 F1148 F1159 F1170 F1182 F1193 F1204 F1215 F1227 F1239 F1251 F1263 F1274 F1285 F1296 F1307 F1318 F1329 F1340 F1351 F1363 F1374 F1385 F1396 F1407 F1418 F1429 F1440 F1451 F1462 F1473 F1484 F1495 F1506 F1517 F1528 F1539 F1550 F1562 F1578 F1589 F1600 F1611 F1622 F1633 F1644 F1658 F1674 F1687 F1698 F1709 F1720 F17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3 F64 F75 F88 F101 F112 F123 F135 F147 F160 F173 F186 F199 F210 F221 F232 F243 F254 F265 F276 F287 F298 F309 F320 F331 F342 F353 F364 F375 F386 F397 F408 F419 F430 F441 F452 F463 F474 F485 F496 F507 F518 F529 F540 F551 F562 F573 F584 F595 F607 F619 F631 F643 F654 F665 F676 F687 F698 F709 F720 F731 F742 F755 F767 F779 F793 F809 F823 F839 F850 F861 F872 F883 F894 F906 F918 F929 F940 F951 F962 F973 F984 F995 F1006 F1017 F1028 F1039 F1050 F1061 F1072 F1083 F1094 F1105 F1116 F1127 F1138 F1149 F1160 F1171 F1183 F1194 F1205 F1216 F1228 F1240 F1252 F1264 F1275 F1286 F1297 F1308 F1319 F1330 F1341 F1352 F1364 F1375 F1386 F1397 F1408 F1419 F1430 F1441 F1452 F1463 F1474 F1485 F1496 F1507 F1518 F1529 F1540 F1551 F1563 F1579 F1590 F1601 F1612 F1623 F1634 F1645 F1659 F1675 F1688 F1699 F1710 F1721 F17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4 F65 F76 F89 F102 F113 F124 F136 F148 F161 F174 F187 F200 F211 F222 F233 F244 F255 F266 F277 F288 F299 F310 F321 F332 F343 F354 F365 F376 F387 F398 F409 F420 F431 F442 F453 F464 F475 F486 F497 F508 F519 F530 F541 F552 F563 F574 F585 F596 F608 F620 F632 F644 F655 F666 F677 F688 F699 F710 F721 F732 F743 F756 F768 F780 F794 F810 F824 F840 F851 F862 F873 F884 F895 F907 F919 F930 F941 F952 F963 F974 F985 F996 F1007 F1018 F1029 F1040 F1051 F1062 F1073 F1084 F1095 F1106 F1117 F1128 F1139 F1150 F1161 F1172 F1184 F1195 F1206 F1217 F1229 F1241 F1253 F1265 F1276 F1287 F1298 F1309 F1320 F1331 F1342 F1353 F1365 F1376 F1387 F1398 F1409 F1420 F1431 F1442 F1453 F1464 F1475 F1486 F1497 F1508 F1519 F1530 F1541 F1552 F1564 F1580 F1591 F1602 F1613 F1624 F1635 F1646 F1660 F1676 F1689 F1700 F1711 F1722 F17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A46 A57 A68 A79:A81 A105 A116 A127:A128 A92:A94 A151:A153 A164:A166 A177:A179 A190:A192 A203 A214 A225 A236 A247 A258 A269 A280 A291 A302 A313 A324 A335 A346 A357 A368 A379 A390 A401 A412 A423 A434 A445 A456 A467 A478 A489 A500 A511 A522 A533 A544 A555 A566 A577 A588 A623:A624 A599:A600 A611:A612 A635:A636 A647 A658 A669 A680 A691 A702 A713 A724 A735 A759:A760 A771:A772 A813:A816 A1736 A827:A832 A843 A854 A865 A876 A922 A887 A898:A899 A910:A911 A933 A944 A955 A966 A977 A988 A999 A1010 A1021 A1032 A1043 A1054 A1065 A1076 A1087 A1098 A1109 A1120 A1131 A1142 A1153 A1164 A746:A748 A1187 A1198 A1209 A1244:A1245 A1220:A1221 A1232:A1233 A1256:A1257 A1268 A1279 A1290 A1301 A1312 A1323 A1334 A1345 A1390 A1368 A1379 A1356:A1357 A1401 A1412 A1423 A1434 A1445 A1456 A1467 A1478 A1489 A1500 A1511 A1522 A1533 A1544 A1594 A1555:A1556 A1583 A1567:A1572 A1605 A1616 A1627 A1638 A1692 A1649:A1652 A1663:A1668 A1679:A1681 A139:A140 A1175:A1176 A1703 A1714 A1725 A783:A786 A797:A802" xr:uid="{00000000-0002-0000-0100-00000C000000}">
      <formula1>0</formula1>
    </dataValidation>
    <dataValidation type="list" allowBlank="1" showInputMessage="1" showErrorMessage="1" sqref="C23 C34 C45:C46 C57 C68 C79:C81 C105 C116 C127:C128 C92:C94 C151:C153 C164:C166 C177:C179 C190:C192 C203 C214 C225 C236 C247 C258 C269 C280 C291 C302 C313 C324 C335 C346 C357 C368 C379 C390 C401 C412 C423 C434 C445 C456 C467 C478 C489 C500 C511 C522 C533 C544 C555 C566 C577 C588 C623:C624 C599:C600 C611:C612 C635:C636 C647 C658 C669 C680 C691 C702 C713 C724 C735 C759:C760 C771:C772 C813:C816 C1736 C827:C832 C843 C854 C865 C876 C922 C887 C898:C899 C910:C911 C933 C944 C955 C966 C977 C988 C999 C1010 C1021 C1032 C1043 C1054 C1065 C1076 C1087 C1098 C1109 C1120 C1131 C1142 C1153 C1164 C746:C748 C1187 C1198 C1209 C1244:C1245 C1220:C1221 C1232:C1233 C1256:C1257 C1268 C1279 C1290 C1301 C1312 C1323 C1334 C1345 C1390 C1368 C1379 C1356:C1357 C1401 C1412 C1423 C1434 C1445 C1456 C1467 C1478 C1489 C1500 C1511 C1522 C1533 C1544 C1594 C1555:C1556 C1583 C1567:C1572 C1605 C1616 C1627 C1638 C1692 C1649:C1652 C1663:C1668 C1679:C1681 C139:C140 C1175:C1176 C1703 C1714 C1725 C783:C786 C797:C802" xr:uid="{00000000-0002-0000-0100-00000D000000}">
      <formula1>UnidadesList</formula1>
    </dataValidation>
    <dataValidation type="decimal" operator="greaterThan" allowBlank="1" showInputMessage="1" showErrorMessage="1" sqref="D23:E23 D34:E34 D45:E46 D57:E57 D68:E68 D79:E81 D105:E105 D116:E116 D127:E128 D92:E94 D151:E153 D164:E166 D177:E179 D190:E192 D203:E203 D214:E214 D225:E225 D236:E236 D247:E247 D258:E258 D269:E269 D280:E280 D291:E291 D302:E302 D313:E313 D324:E324 D335:E335 D346:E346 D357:E357 D368:E368 D379:E379 D390:E390 D401:E401 D412:E412 D423:E423 D434:E434 D445:E445 D456:E456 D467:E467 D478:E478 D489:E489 D500:E500 D511:E511 D522:E522 D533:E533 D544:E544 D555:E555 D566:E566 D577:E577 D588:E588 D623:E624 D599:E600 D611:E612 D635:E636 D647:E647 D658:E658 D669:E669 D680:E680 D691:E691 D702:E702 D713:E713 D724:E724 D735:E735 D759:E760 D771:E772 D813:E816 D1736:E1736 D827:E832 D843:E843 D854:E854 D865:E865 D876:E876 D922:E922 D887:E887 D898:E899 D910:E911 D933:E933 D944:E944 D955:E955 D966:E966 D977:E977 D988:E988 D999:E999 D1010:E1010 D1021:E1021 D1032:E1032 D1043:E1043 D1054:E1054 D1065:E1065 D1076:E1076 D1087:E1087 D1098:E1098 D1109:E1109 D1120:E1120 D1131:E1131 D1142:E1142 D1153:E1153 D1164:E1164 D746:E748 D1187:E1187 D1198:E1198 D1209:E1209 D1244:E1245 D1220:E1221 D1232:E1233 D1256:E1257 D1268:E1268 D1279:E1279 D1290:E1290 D1301:E1301 D1312:E1312 D1323:E1323 D1334:E1334 D1345:E1345 D1390:E1390 D1368:E1368 D1379:E1379 D1356:E1357 D1401:E1401 D1412:E1412 D1423:E1423 D1434:E1434 D1445:E1445 D1456:E1456 D1467:E1467 D1478:E1478 D1489:E1489 D1500:E1500 D1511:E1511 D1522:E1522 D1533:E1533 D1544:E1544 D1594:E1594 D1555:E1556 D1583:E1583 D1567:E1572 D1605:E1605 D1616:E1616 D1627:E1627 D1638:E1638 D1692:E1692 D1649:E1652 D1663:E1668 D1679:E1681 D139:E140 D1175:E1176 D1703:E1703 D1714:E1714 D1725:E1725 D783:E786 D797:E802" xr:uid="{00000000-0002-0000-0100-00000E000000}">
      <formula1>0</formula1>
    </dataValidation>
  </dataValidations>
  <printOptions horizontalCentered="1"/>
  <pageMargins left="0.70866141732283472" right="0.70866141732283472" top="0.74803149606299213" bottom="0.74803149606299213" header="0.31496062992125984" footer="0.31496062992125984"/>
  <pageSetup paperSize="17" scale="75" fitToHeight="0" orientation="portrait" r:id="rId1"/>
  <rowBreaks count="18" manualBreakCount="18">
    <brk id="96" max="5" man="1"/>
    <brk id="194" max="5" man="1"/>
    <brk id="282" max="5" man="1"/>
    <brk id="376" max="5" man="1"/>
    <brk id="465" max="5" man="1"/>
    <brk id="557" max="5" man="1"/>
    <brk id="649" max="5" man="1"/>
    <brk id="737" max="5" man="1"/>
    <brk id="834" max="5" man="1"/>
    <brk id="1023" max="5" man="1"/>
    <brk id="1111" max="5" man="1"/>
    <brk id="1206" max="5" man="1"/>
    <brk id="1302" max="5" man="1"/>
    <brk id="1398" max="5" man="1"/>
    <brk id="1491" max="5" man="1"/>
    <brk id="1585" max="5" man="1"/>
    <brk id="1677" max="5" man="1"/>
    <brk id="1737"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1740</xdr:row>
                    <xdr:rowOff>0</xdr:rowOff>
                  </from>
                  <to>
                    <xdr:col>1</xdr:col>
                    <xdr:colOff>457200</xdr:colOff>
                    <xdr:row>1741</xdr:row>
                    <xdr:rowOff>161925</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3" r:id="rId11" name="Button 1089">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12" name="Button 109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5" r:id="rId13" name="Button 1091">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59" r:id="rId14" name="Button 1095">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78" r:id="rId15" name="Button 1114">
              <controlPr locked="0" defaultSize="0" print="0" autoFill="0" autoPict="0" macro="[0]!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9" r:id="rId16" name="Button 1115">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80" r:id="rId17" name="Button 1116">
              <controlPr locked="0" defaultSize="0" print="0" autoFill="0" autoPict="0" macro="[0]!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01" r:id="rId18" name="Button 1137">
              <controlPr locked="0" defaultSize="0" print="0" autoFill="0" autoPict="0" macro="[0]!Sheet1.InsertNewTabl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02" r:id="rId19" name="Button 1138">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03" r:id="rId20" name="Button 1139">
              <controlPr locked="0" defaultSize="0" print="0" autoFill="0" autoPict="0" macro="[0]!Sheet1.deleteProcedure">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22" r:id="rId21" name="Button 1158">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23" r:id="rId22" name="Button 115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24" r:id="rId23" name="Button 1160">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6" r:id="rId24" name="Button 116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7" r:id="rId25" name="Button 116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46" r:id="rId26" name="Button 1182">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7" r:id="rId27" name="Button 118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48" r:id="rId28" name="Button 1184">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51" r:id="rId29" name="Button 118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53" r:id="rId30" name="Button 1189">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72" r:id="rId31" name="Button 1208">
              <controlPr locked="0" defaultSize="0" print="0" autoFill="0" autoPict="0" macro="[0]!Sheet1.InsertNewTabl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3" r:id="rId32" name="Button 1209">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74" r:id="rId33" name="Button 1210">
              <controlPr locked="0" defaultSize="0" print="0" autoFill="0" autoPict="0" macro="[0]!Sheet1.deleteProcedure">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95" r:id="rId34" name="Button 1231">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96" r:id="rId35" name="Button 123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7" r:id="rId36" name="Button 1233">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6" r:id="rId37" name="Button 1252">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7" r:id="rId38" name="Button 125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18" r:id="rId39" name="Button 1254">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19" r:id="rId40" name="Button 125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38" r:id="rId41" name="Button 1274">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9" r:id="rId42" name="Button 1275">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0" r:id="rId43" name="Button 1276">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59" r:id="rId44" name="Button 1295">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60" r:id="rId45" name="Button 1296">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61" r:id="rId46" name="Button 1297">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2" r:id="rId47" name="Button 129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3" r:id="rId48" name="Button 129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24" r:id="rId49" name="Button 1360">
              <controlPr locked="0" defaultSize="0" print="0" autoFill="0" autoPict="0" macro="[0]!Sheet1.InsertNewTabl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625" r:id="rId50" name="Button 1361">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26" r:id="rId51" name="Button 1362">
              <controlPr locked="0" defaultSize="0" print="0" autoFill="0" autoPict="0" macro="[0]!Sheet1.deleteProcedure">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627" r:id="rId52" name="Button 1363">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28" r:id="rId53" name="Button 1364">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47" r:id="rId54" name="Button 1383">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48" r:id="rId55" name="Button 1384">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49" r:id="rId56" name="Button 1385">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50" r:id="rId57" name="Button 138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51" r:id="rId58" name="Button 138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70" r:id="rId59" name="Button 1406">
              <controlPr locked="0" defaultSize="0" print="0" autoFill="0" autoPict="0" macro="[0]!Sheet1.InsertNewTabl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71" r:id="rId60" name="Button 1407">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72" r:id="rId61" name="Button 1408">
              <controlPr locked="0" defaultSize="0" print="0" autoFill="0" autoPict="0" macro="[0]!Sheet1.deleteProcedure">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73" r:id="rId62" name="Button 1409">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4" r:id="rId63" name="Button 1410">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93" r:id="rId64" name="Button 1429">
              <controlPr locked="0" defaultSize="0" print="0" autoFill="0" autoPict="0" macro="[0]!Sheet1.InsertNewTabl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4" r:id="rId65" name="Button 1430">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95" r:id="rId66" name="Button 1431">
              <controlPr locked="0" defaultSize="0" print="0" autoFill="0" autoPict="0" macro="[0]!Sheet1.deleteProcedure">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14" r:id="rId67" name="Button 1450">
              <controlPr locked="0" defaultSize="0" print="0" autoFill="0" autoPict="0" macro="[0]!Sheet1.InsertNewTabl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15" r:id="rId68" name="Button 145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16" r:id="rId69" name="Button 1452">
              <controlPr locked="0" defaultSize="0" print="0" autoFill="0" autoPict="0" macro="[0]!Sheet1.deleteProcedure">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35" r:id="rId70" name="Button 1471">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36" r:id="rId71" name="Button 1472">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37" r:id="rId72" name="Button 1473">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56" r:id="rId73" name="Button 1492">
              <controlPr locked="0" defaultSize="0" print="0" autoFill="0" autoPict="0" macro="[0]!Sheet1.InsertNewTabl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57" r:id="rId74" name="Button 149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58" r:id="rId75" name="Button 1494">
              <controlPr locked="0" defaultSize="0" print="0" autoFill="0" autoPict="0" macro="[0]!Sheet1.deleteProcedure">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77" r:id="rId76" name="Button 1513">
              <controlPr locked="0" defaultSize="0" print="0" autoFill="0" autoPict="0" macro="[0]!Sheet1.InsertNewTabl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78" r:id="rId77" name="Button 1514">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79" r:id="rId78" name="Button 1515">
              <controlPr locked="0" defaultSize="0" print="0" autoFill="0" autoPict="0" macro="[0]!Sheet1.deleteProcedure">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98" r:id="rId79" name="Button 1534">
              <controlPr locked="0" defaultSize="0" print="0" autoFill="0" autoPict="0" macro="[0]!Sheet1.InsertNewTabl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99" r:id="rId80" name="Button 1535">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00" r:id="rId81" name="Button 1536">
              <controlPr locked="0" defaultSize="0" print="0" autoFill="0" autoPict="0" macro="[0]!Sheet1.deleteProcedure">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25" r:id="rId82" name="Button 1561">
              <controlPr locked="0" defaultSize="0" print="0" autoFill="0" autoPict="0" macro="[0]!Sheet1.InsertNewTabl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26" r:id="rId83" name="Button 156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27" r:id="rId84" name="Button 1563">
              <controlPr locked="0" defaultSize="0" print="0" autoFill="0" autoPict="0" macro="[0]!Sheet1.deleteProcedure">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46" r:id="rId85" name="Button 1582">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47" r:id="rId86" name="Button 1583">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48" r:id="rId87" name="Button 1584">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67" r:id="rId88" name="Button 1603">
              <controlPr locked="0" defaultSize="0" print="0" autoFill="0" autoPict="0" macro="[0]!Sheet1.InsertNewTabl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68" r:id="rId89" name="Button 160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69" r:id="rId90" name="Button 1605">
              <controlPr locked="0" defaultSize="0" print="0" autoFill="0" autoPict="0" macro="[0]!Sheet1.deleteProcedure">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88" r:id="rId91" name="Button 1624">
              <controlPr locked="0" defaultSize="0" print="0" autoFill="0" autoPict="0" macro="[0]!Sheet1.InsertNewTabl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89" r:id="rId92" name="Button 162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90" r:id="rId93" name="Button 1626">
              <controlPr locked="0" defaultSize="0" print="0" autoFill="0" autoPict="0" macro="[0]!Sheet1.deleteProcedure">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9" r:id="rId94" name="Button 1645">
              <controlPr locked="0" defaultSize="0" print="0" autoFill="0" autoPict="0" macro="[0]!Sheet1.InsertNewTabl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10" r:id="rId95" name="Button 164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11" r:id="rId96" name="Button 1647">
              <controlPr locked="0" defaultSize="0" print="0" autoFill="0" autoPict="0" macro="[0]!Sheet1.deleteProcedure">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30" r:id="rId97" name="Button 1666">
              <controlPr locked="0" defaultSize="0" print="0" autoFill="0" autoPict="0" macro="[0]!Sheet1.InsertNewTabl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31" r:id="rId98" name="Button 1667">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32" r:id="rId99" name="Button 1668">
              <controlPr locked="0" defaultSize="0" print="0" autoFill="0" autoPict="0" macro="[0]!Sheet1.deleteProcedure">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51" r:id="rId100" name="Button 1687">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52" r:id="rId101" name="Button 1688">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53" r:id="rId102" name="Button 1689">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72" r:id="rId103" name="Button 1708">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73" r:id="rId104" name="Button 1709">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74" r:id="rId105" name="Button 1710">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98" r:id="rId106" name="Button 1734">
              <controlPr locked="0" defaultSize="0" print="0" autoFill="0" autoPict="0" macro="[0]!Sheet1.InsertNewTabl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99" r:id="rId107" name="Button 1735">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00" r:id="rId108" name="Button 1736">
              <controlPr locked="0" defaultSize="0" print="0" autoFill="0" autoPict="0" macro="[0]!Sheet1.deleteProcedure">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19" r:id="rId109" name="Button 1755">
              <controlPr locked="0" defaultSize="0" print="0" autoFill="0" autoPict="0" macro="[0]!Sheet1.InsertNewTabl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20" r:id="rId110" name="Button 1756">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21" r:id="rId111" name="Button 1757">
              <controlPr locked="0" defaultSize="0" print="0" autoFill="0" autoPict="0" macro="[0]!Sheet1.deleteProcedure">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40" r:id="rId112" name="Button 1776">
              <controlPr locked="0" defaultSize="0" print="0" autoFill="0" autoPict="0" macro="[0]!Sheet1.InsertNewTabl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41" r:id="rId113" name="Button 1777">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42" r:id="rId114" name="Button 1778">
              <controlPr locked="0" defaultSize="0" print="0" autoFill="0" autoPict="0" macro="[0]!Sheet1.deleteProcedure">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61" r:id="rId115" name="Button 1797">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62" r:id="rId116" name="Button 1798">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63" r:id="rId117" name="Button 1799">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83" r:id="rId118" name="Button 1819">
              <controlPr locked="0" defaultSize="0" print="0" autoFill="0" autoPict="0" macro="[0]!Sheet1.InsertNewTabl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4" r:id="rId119" name="Button 1820">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85" r:id="rId120" name="Button 1821">
              <controlPr locked="0" defaultSize="0" print="0" autoFill="0" autoPict="0" macro="[0]!Sheet1.deleteProcedure">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04" r:id="rId121" name="Button 1840">
              <controlPr locked="0" defaultSize="0" print="0" autoFill="0" autoPict="0" macro="[0]!Sheet1.InsertNewTabl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05" r:id="rId122" name="Button 1841">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06" r:id="rId123" name="Button 1842">
              <controlPr locked="0" defaultSize="0" print="0" autoFill="0" autoPict="0" macro="[0]!Sheet1.deleteProcedure">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25" r:id="rId124" name="Button 1861">
              <controlPr locked="0" defaultSize="0" print="0" autoFill="0" autoPict="0" macro="[0]!Sheet1.InsertNewTabl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26" r:id="rId125" name="Button 186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27" r:id="rId126" name="Button 1863">
              <controlPr locked="0" defaultSize="0" print="0" autoFill="0" autoPict="0" macro="[0]!Sheet1.deleteProcedure">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46" r:id="rId127" name="Button 1882">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47" r:id="rId128" name="Button 1883">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48" r:id="rId129" name="Button 1884">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67" r:id="rId130" name="Button 1903">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68" r:id="rId131" name="Button 190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69" r:id="rId132" name="Button 1905">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88" r:id="rId133" name="Button 1924">
              <controlPr locked="0" defaultSize="0" print="0" autoFill="0" autoPict="0" macro="[0]!Sheet1.InsertNewTabl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89" r:id="rId134" name="Button 192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90" r:id="rId135" name="Button 1926">
              <controlPr locked="0" defaultSize="0" print="0" autoFill="0" autoPict="0" macro="[0]!Sheet1.deleteProcedure">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09" r:id="rId136" name="Button 1945">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10" r:id="rId137" name="Button 194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11" r:id="rId138" name="Button 1947">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30" r:id="rId139" name="Button 1966">
              <controlPr locked="0" defaultSize="0" print="0" autoFill="0" autoPict="0" macro="[0]!Sheet1.InsertNewTabl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31" r:id="rId140" name="Button 196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32" r:id="rId141" name="Button 1968">
              <controlPr locked="0" defaultSize="0" print="0" autoFill="0" autoPict="0" macro="[0]!Sheet1.deleteProcedure">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52" r:id="rId142" name="Button 1988">
              <controlPr locked="0" defaultSize="0" print="0" autoFill="0" autoPict="0" macro="[0]!Sheet1.InsertNewTabl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53" r:id="rId143" name="Button 1989">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54" r:id="rId144" name="Button 1990">
              <controlPr locked="0" defaultSize="0" print="0" autoFill="0" autoPict="0" macro="[0]!Sheet1.deleteProcedure">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73" r:id="rId145" name="Button 2009">
              <controlPr locked="0" defaultSize="0" print="0" autoFill="0" autoPict="0" macro="[0]!Sheet1.InsertNewTabl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74" r:id="rId146" name="Button 2010">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75" r:id="rId147" name="Button 2011">
              <controlPr locked="0" defaultSize="0" print="0" autoFill="0" autoPict="0" macro="[0]!Sheet1.deleteProcedure">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94" r:id="rId148" name="Button 2030">
              <controlPr locked="0" defaultSize="0" print="0" autoFill="0" autoPict="0" macro="[0]!Sheet1.InsertNewTabl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95" r:id="rId149" name="Button 203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96" r:id="rId150" name="Button 2032">
              <controlPr locked="0" defaultSize="0" print="0" autoFill="0" autoPict="0" macro="[0]!Sheet1.deleteProcedure">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11" r:id="rId151" name="Button 2051">
              <controlPr locked="0" defaultSize="0" print="0" autoFill="0" autoPict="0" macro="[0]!Sheet1.InsertNewTabl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12" r:id="rId152" name="Button 2052">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13" r:id="rId153" name="Button 2053">
              <controlPr locked="0" defaultSize="0" print="0" autoFill="0" autoPict="0" macro="[0]!Sheet1.deleteProcedure">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32" r:id="rId154" name="Button 2072">
              <controlPr locked="0" defaultSize="0" print="0" autoFill="0" autoPict="0" macro="[0]!Sheet1.InsertNewTabl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33" r:id="rId155" name="Button 2073">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34" r:id="rId156" name="Button 2074">
              <controlPr locked="0" defaultSize="0" print="0" autoFill="0" autoPict="0" macro="[0]!Sheet1.deleteProcedure">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53" r:id="rId157" name="Button 2093">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54" r:id="rId158" name="Button 209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55" r:id="rId159" name="Button 2095">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74" r:id="rId160" name="Button 2114">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75" r:id="rId161" name="Button 211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76" r:id="rId162" name="Button 2116">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95" r:id="rId163" name="Button 2135">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96" r:id="rId164" name="Button 2136">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97" r:id="rId165" name="Button 2137">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16" r:id="rId166" name="Button 2156">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17" r:id="rId167" name="Button 215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18" r:id="rId168" name="Button 2158">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37" r:id="rId169" name="Button 2177">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38" r:id="rId170" name="Button 217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39" r:id="rId171" name="Button 2179">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58" r:id="rId172" name="Button 2198">
              <controlPr locked="0" defaultSize="0" print="0" autoFill="0" autoPict="0" macro="[0]!Sheet1.InsertNewTabl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59" r:id="rId173" name="Button 219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60" r:id="rId174" name="Button 2200">
              <controlPr locked="0" defaultSize="0" print="0" autoFill="0" autoPict="0" macro="[0]!Sheet1.deleteProcedure">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79" r:id="rId175" name="Button 2219">
              <controlPr locked="0" defaultSize="0" print="0" autoFill="0" autoPict="0" macro="[0]!Sheet1.InsertNewTabl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80" r:id="rId176" name="Button 2220">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81" r:id="rId177" name="Button 2221">
              <controlPr locked="0" defaultSize="0" print="0" autoFill="0" autoPict="0" macro="[0]!Sheet1.deleteProcedure">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00" r:id="rId178" name="Button 2240">
              <controlPr locked="0" defaultSize="0" print="0" autoFill="0" autoPict="0" macro="[0]!Sheet1.InsertNewTabl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01" r:id="rId179" name="Button 2241">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02" r:id="rId180" name="Button 2242">
              <controlPr locked="0" defaultSize="0" print="0" autoFill="0" autoPict="0" macro="[0]!Sheet1.deleteProcedure">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21" r:id="rId181" name="Button 2261">
              <controlPr locked="0" defaultSize="0" print="0" autoFill="0" autoPict="0" macro="[0]!Sheet1.InsertNewTabl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22" r:id="rId182" name="Button 2262">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23" r:id="rId183" name="Button 2263">
              <controlPr locked="0" defaultSize="0" print="0" autoFill="0" autoPict="0" macro="[0]!Sheet1.deleteProcedure">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26" r:id="rId184" name="Button 226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627" r:id="rId185" name="Button 2267">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28" r:id="rId186" name="Button 2268">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629" r:id="rId187" name="Button 226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48" r:id="rId188" name="Button 2288">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49" r:id="rId189" name="Button 2289">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50" r:id="rId190" name="Button 2290">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70" r:id="rId191" name="Button 2310">
              <controlPr locked="0" defaultSize="0" print="0" autoFill="0" autoPict="0" macro="[0]!Sheet1.InsertNewTabl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671" r:id="rId192" name="Button 231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72" r:id="rId193" name="Button 2312">
              <controlPr locked="0" defaultSize="0" print="0" autoFill="0" autoPict="0" macro="[0]!Sheet1.deleteProcedure">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91" r:id="rId194" name="Button 2331">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92" r:id="rId195" name="Button 233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93" r:id="rId196" name="Button 2333">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12" r:id="rId197" name="Button 2352">
              <controlPr locked="0" defaultSize="0" print="0" autoFill="0" autoPict="0" macro="[0]!Sheet1.InsertNewTabl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13" r:id="rId198" name="Button 2353">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14" r:id="rId199" name="Button 2354">
              <controlPr locked="0" defaultSize="0" print="0" autoFill="0" autoPict="0" macro="[0]!Sheet1.deleteProcedure">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33" r:id="rId200" name="Button 2373">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34" r:id="rId201" name="Button 237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35" r:id="rId202" name="Button 2375">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54" r:id="rId203" name="Button 2394">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55" r:id="rId204" name="Button 2395">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56" r:id="rId205" name="Button 2396">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75" r:id="rId206" name="Button 2415">
              <controlPr locked="0" defaultSize="0" print="0" autoFill="0" autoPict="0" macro="[0]!Sheet1.InsertNewTabl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76" r:id="rId207" name="Button 2416">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77" r:id="rId208" name="Button 2417">
              <controlPr locked="0" defaultSize="0" print="0" autoFill="0" autoPict="0" macro="[0]!Sheet1.deleteProcedure">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96" r:id="rId209" name="Button 2436">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97" r:id="rId210" name="Button 2437">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98" r:id="rId211" name="Button 2438">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17" r:id="rId212" name="Button 2457">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18" r:id="rId213" name="Button 2458">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19" r:id="rId214" name="Button 2459">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46" r:id="rId215" name="Button 2486">
              <controlPr locked="0" defaultSize="0" print="0" autoFill="0" autoPict="0" macro="[0]!Sheet1.InsertNewTabl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48" r:id="rId216" name="Button 2488">
              <controlPr locked="0" defaultSize="0" print="0" autoFill="0" autoPict="0" macro="[0]!Sheet1.deleteProcedure">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867" r:id="rId217" name="Button 2507">
              <controlPr locked="0" defaultSize="0" print="0" autoFill="0" autoPict="0" macro="[0]!Sheet1.InsertNewTabl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68" r:id="rId218" name="Button 250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869" r:id="rId219" name="Button 2509">
              <controlPr locked="0" defaultSize="0" print="0" autoFill="0" autoPict="0" macro="[0]!Sheet1.deleteProcedure">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88" r:id="rId220" name="Button 2528">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89" r:id="rId221" name="Button 2529">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90" r:id="rId222" name="Button 2530">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91" r:id="rId223" name="Button 2531">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92" r:id="rId224" name="Button 2532">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893" r:id="rId225" name="Button 2533">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95" r:id="rId226" name="Button 2535">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98" r:id="rId227" name="Button 2538">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17" r:id="rId228" name="Button 2557">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18" r:id="rId229" name="Button 255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19" r:id="rId230" name="Button 2559">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38" r:id="rId231" name="Button 2578">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39" r:id="rId232" name="Button 2579">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40" r:id="rId233" name="Button 2580">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59" r:id="rId234" name="Button 2599">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60" r:id="rId235" name="Button 2600">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61" r:id="rId236" name="Button 2601">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80" r:id="rId237" name="Button 2620">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82" r:id="rId238" name="Button 2622">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84" r:id="rId239" name="Button 2624">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85" r:id="rId240" name="Button 2625">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93" r:id="rId241" name="Button 263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95" r:id="rId242" name="Button 2635">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96" r:id="rId243" name="Button 263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97" r:id="rId244" name="Button 263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98" r:id="rId245" name="Button 2638">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99" r:id="rId246" name="Button 263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000" r:id="rId247" name="Button 2640">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01" r:id="rId248" name="Button 2641">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002" r:id="rId249" name="Button 2642">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03" r:id="rId250" name="Button 2643">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04" r:id="rId251" name="Button 2644">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05" r:id="rId252" name="Button 2645">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06" r:id="rId253" name="Button 2646">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25" r:id="rId254" name="Button 2665">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26" r:id="rId255" name="Button 2666">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27" r:id="rId256" name="Button 2667">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046" r:id="rId257" name="Button 2686">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47" r:id="rId258" name="Button 268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48" r:id="rId259" name="Button 2688">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67" r:id="rId260" name="Button 2707">
              <controlPr locked="0" defaultSize="0" print="0" autoFill="0" autoPict="0" macro="[0]!Sheet1.InsertNewTabl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68" r:id="rId261" name="Button 270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069" r:id="rId262" name="Button 2709">
              <controlPr locked="0" defaultSize="0" print="0" autoFill="0" autoPict="0" macro="[0]!Sheet1.deleteProcedure">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88" r:id="rId263" name="Button 2728">
              <controlPr locked="0" defaultSize="0" print="0" autoFill="0" autoPict="0" macro="[0]!Sheet1.InsertNewTabl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89" r:id="rId264" name="Button 2729">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90" r:id="rId265" name="Button 2730">
              <controlPr locked="0" defaultSize="0" print="0" autoFill="0" autoPict="0" macro="[0]!Sheet1.deleteProcedure">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117" r:id="rId266" name="Button 2757">
              <controlPr locked="0" defaultSize="0" print="0" autoFill="0" autoPict="0" macro="[0]!Sheet1.InsertNewTabl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118" r:id="rId267" name="Button 275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19" r:id="rId268" name="Button 2759">
              <controlPr locked="0" defaultSize="0" print="0" autoFill="0" autoPict="0" macro="[0]!Sheet1.deleteProcedure">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138" r:id="rId269" name="Button 2778">
              <controlPr locked="0" defaultSize="0" print="0" autoFill="0" autoPict="0" macro="[0]!Sheet1.InsertNewTabl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139" r:id="rId270" name="Button 2779">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140" r:id="rId271" name="Button 2780">
              <controlPr locked="0" defaultSize="0" print="0" autoFill="0" autoPict="0" macro="[0]!Sheet1.deleteProcedure">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59" r:id="rId272" name="Button 2799">
              <controlPr locked="0" defaultSize="0" print="0" autoFill="0" autoPict="0" macro="[0]!Sheet1.InsertNewTabl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160" r:id="rId273" name="Button 280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161" r:id="rId274" name="Button 2801">
              <controlPr locked="0" defaultSize="0" print="0" autoFill="0" autoPict="0" macro="[0]!Sheet1.deleteProcedure">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80" r:id="rId275" name="Button 2820">
              <controlPr locked="0" defaultSize="0" print="0" autoFill="0" autoPict="0" macro="[0]!Sheet1.InsertNewTabl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181" r:id="rId276" name="Button 2821">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182" r:id="rId277" name="Button 2822">
              <controlPr locked="0" defaultSize="0" print="0" autoFill="0" autoPict="0" macro="[0]!Sheet1.deleteProcedure">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92" r:id="rId278" name="Button 2832">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93" r:id="rId279" name="Button 2833">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212" r:id="rId280" name="Button 2852">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213" r:id="rId281" name="Button 285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214" r:id="rId282" name="Button 2854">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233" r:id="rId283" name="Button 2873">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234" r:id="rId284" name="Button 2874">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235" r:id="rId285" name="Button 2875">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255" r:id="rId286" name="Button 2895">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56" r:id="rId287" name="Button 289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57" r:id="rId288" name="Button 2897">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276" r:id="rId289" name="Button 2916">
              <controlPr locked="0" defaultSize="0" print="0" autoFill="0" autoPict="0" macro="[0]!Sheet1.InsertNewTabl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277" r:id="rId290" name="Button 291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278" r:id="rId291" name="Button 2918">
              <controlPr locked="0" defaultSize="0" print="0" autoFill="0" autoPict="0" macro="[0]!Sheet1.deleteProcedure">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97" r:id="rId292" name="Button 2937">
              <controlPr locked="0" defaultSize="0" print="0" autoFill="0" autoPict="0" macro="[0]!Sheet1.InsertNewTabl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298" r:id="rId293" name="Button 2938">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299" r:id="rId294" name="Button 2939">
              <controlPr locked="0" defaultSize="0" print="0" autoFill="0" autoPict="0" macro="[0]!Sheet1.deleteProcedure">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318" r:id="rId295" name="Button 2958">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319" r:id="rId296" name="Button 2959">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320" r:id="rId297" name="Button 2960">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348" r:id="rId298" name="Button 2988">
              <controlPr locked="0" defaultSize="0" print="0" autoFill="0" autoPict="0" macro="[0]!Sheet1.InsertNewTabl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349" r:id="rId299" name="Button 2989">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350" r:id="rId300" name="Button 2990">
              <controlPr locked="0" defaultSize="0" print="0" autoFill="0" autoPict="0" macro="[0]!Sheet1.deleteProcedure">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69" r:id="rId301" name="Button 3009">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370" r:id="rId302" name="Button 3010">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71" r:id="rId303" name="Button 3011">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90" r:id="rId304" name="Button 3030">
              <controlPr locked="0" defaultSize="0" print="0" autoFill="0" autoPict="0" macro="[0]!Sheet1.InsertNewTabl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391" r:id="rId305" name="Button 3031">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392" r:id="rId306" name="Button 3032">
              <controlPr locked="0" defaultSize="0" print="0" autoFill="0" autoPict="0" macro="[0]!Sheet1.deleteProcedure">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411" r:id="rId307" name="Button 3051">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412" r:id="rId308" name="Button 3052">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413" r:id="rId309" name="Button 3053">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443" r:id="rId310" name="Button 3083">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444" r:id="rId311" name="Button 308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445" r:id="rId312" name="Button 3085">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89" r:id="rId313" name="Button 3129">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490" r:id="rId314" name="Button 3130">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491" r:id="rId315" name="Button 3131">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510" r:id="rId316" name="Button 3150">
              <controlPr locked="0" defaultSize="0" print="0" autoFill="0" autoPict="0" macro="[0]!Sheet1.InsertNewTabl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511" r:id="rId317" name="Button 3151">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512" r:id="rId318" name="Button 3152">
              <controlPr locked="0" defaultSize="0" print="0" autoFill="0" autoPict="0" macro="[0]!Sheet1.deleteProcedure">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532" r:id="rId319" name="Button 3172">
              <controlPr locked="0" defaultSize="0" print="0" autoFill="0" autoPict="0" macro="[0]!Sheet1.InsertNewTabl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533" r:id="rId320" name="Button 3173">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534" r:id="rId321" name="Button 3174">
              <controlPr locked="0" defaultSize="0" print="0" autoFill="0" autoPict="0" macro="[0]!Sheet1.deleteProcedure">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553" r:id="rId322" name="Button 3193">
              <controlPr locked="0" defaultSize="0" print="0" autoFill="0" autoPict="0" macro="[0]!Sheet1.InsertNewTabl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554" r:id="rId323" name="Button 3194">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555" r:id="rId324" name="Button 3195">
              <controlPr locked="0" defaultSize="0" print="0" autoFill="0" autoPict="0" macro="[0]!Sheet1.deleteProcedure">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574" r:id="rId325" name="Button 3214">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575" r:id="rId326" name="Button 3215">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576" r:id="rId327" name="Button 3216">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595" r:id="rId328" name="Button 3235">
              <controlPr locked="0" defaultSize="0" print="0" autoFill="0" autoPict="0" macro="[0]!Sheet1.InsertNewTabl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596" r:id="rId329" name="Button 3236">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597" r:id="rId330" name="Button 3237">
              <controlPr locked="0" defaultSize="0" print="0" autoFill="0" autoPict="0" macro="[0]!Sheet1.deleteProcedure">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617" r:id="rId331" name="Button 3257">
              <controlPr locked="0" defaultSize="0" print="0" autoFill="0" autoPict="0" macro="[0]!Sheet1.InsertNewTabl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618" r:id="rId332" name="Button 3258">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619" r:id="rId333" name="Button 3259">
              <controlPr locked="0" defaultSize="0" print="0" autoFill="0" autoPict="0" macro="[0]!Sheet1.deleteProcedure">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638" r:id="rId334" name="Button 3278">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639" r:id="rId335" name="Button 3279">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640" r:id="rId336" name="Button 3280">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659" r:id="rId337" name="Button 3299">
              <controlPr locked="0" defaultSize="0" print="0" autoFill="0" autoPict="0" macro="[0]!Sheet1.InsertNewTabl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660" r:id="rId338" name="Button 3300">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661" r:id="rId339" name="Button 3301">
              <controlPr locked="0" defaultSize="0" print="0" autoFill="0" autoPict="0" macro="[0]!Sheet1.deleteProcedure">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680" r:id="rId340" name="Button 3320">
              <controlPr locked="0" defaultSize="0" print="0" autoFill="0" autoPict="0" macro="[0]!Sheet1.InsertNewTabl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681" r:id="rId341" name="Button 3321">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682" r:id="rId342" name="Button 3322">
              <controlPr locked="0" defaultSize="0" print="0" autoFill="0" autoPict="0" macro="[0]!Sheet1.deleteProcedure">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710" r:id="rId343" name="Button 3350">
              <controlPr locked="0" defaultSize="0" print="0" autoFill="0" autoPict="0" macro="[0]!Sheet1.InsertNewTabl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711" r:id="rId344" name="Button 3351">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712" r:id="rId345" name="Button 3352">
              <controlPr locked="0" defaultSize="0" print="0" autoFill="0" autoPict="0" macro="[0]!Sheet1.deleteProcedure">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731" r:id="rId346" name="Button 3371">
              <controlPr locked="0" defaultSize="0" print="0" autoFill="0" autoPict="0" macro="[0]!Sheet1.InsertNewTabl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732" r:id="rId347" name="Button 337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733" r:id="rId348" name="Button 3373">
              <controlPr locked="0" defaultSize="0" print="0" autoFill="0" autoPict="0" macro="[0]!Sheet1.deleteProcedure">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752" r:id="rId349" name="Button 3392">
              <controlPr locked="0" defaultSize="0" print="0" autoFill="0" autoPict="0" macro="[0]!Sheet1.InsertNewTabl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753" r:id="rId350" name="Button 339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754" r:id="rId351" name="Button 3394">
              <controlPr locked="0" defaultSize="0" print="0" autoFill="0" autoPict="0" macro="[0]!Sheet1.deleteProcedure">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773" r:id="rId352" name="Button 3413">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774" r:id="rId353" name="Button 3414">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775" r:id="rId354" name="Button 3415">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796" r:id="rId355" name="Button 3436">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797" r:id="rId356" name="Button 3437">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798" r:id="rId357" name="Button 3438">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818" r:id="rId358" name="Button 3458">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819" r:id="rId359" name="Button 3459">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820" r:id="rId360" name="Button 3460">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839" r:id="rId361" name="Button 3479">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840" r:id="rId362" name="Button 3480">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841" r:id="rId363" name="Button 3481">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860" r:id="rId364" name="Button 3500">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861" r:id="rId365" name="Button 350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862" r:id="rId366" name="Button 3502">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881" r:id="rId367" name="Button 3521">
              <controlPr locked="0" defaultSize="0" print="0" autoFill="0" autoPict="0" macro="[0]!Sheet1.InsertNewTabl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882" r:id="rId368" name="Button 3522">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883" r:id="rId369" name="Button 3523">
              <controlPr locked="0" defaultSize="0" print="0" autoFill="0" autoPict="0" macro="[0]!Sheet1.deleteProcedure">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890" r:id="rId370" name="Button 353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891" r:id="rId371" name="Button 3531">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892" r:id="rId372" name="Button 353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893" r:id="rId373" name="Button 3533">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912" r:id="rId374" name="Button 3552">
              <controlPr locked="0" defaultSize="0" print="0" autoFill="0" autoPict="0" macro="[0]!Sheet1.InsertNewTabl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913" r:id="rId375" name="Button 3553">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914" r:id="rId376" name="Button 3554">
              <controlPr locked="0" defaultSize="0" print="0" autoFill="0" autoPict="0" macro="[0]!Sheet1.deleteProcedure">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933" r:id="rId377" name="Button 3573">
              <controlPr locked="0" defaultSize="0" print="0" autoFill="0" autoPict="0" macro="[0]!Sheet1.InsertNewTabl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934" r:id="rId378" name="Button 3574">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935" r:id="rId379" name="Button 3575">
              <controlPr locked="0" defaultSize="0" print="0" autoFill="0" autoPict="0" macro="[0]!Sheet1.deleteProcedure">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954" r:id="rId380" name="Button 3594">
              <controlPr locked="0" defaultSize="0" print="0" autoFill="0" autoPict="0" macro="[0]!Sheet1.InsertNewTabl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955" r:id="rId381" name="Button 359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956" r:id="rId382" name="Button 3596">
              <controlPr locked="0" defaultSize="0" print="0" autoFill="0" autoPict="0" macro="[0]!Sheet1.deleteProcedure">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975" r:id="rId383" name="Button 3615">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976" r:id="rId384" name="Button 361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977" r:id="rId385" name="Button 3617">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9005" r:id="rId386" name="Button 3645">
              <controlPr locked="0" defaultSize="0" print="0" autoFill="0" autoPict="0" macro="[0]!Sheet1.InsertNewTabl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9006" r:id="rId387" name="Button 3646">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9007" r:id="rId388" name="Button 3647">
              <controlPr locked="0" defaultSize="0" print="0" autoFill="0" autoPict="0" macro="[0]!Sheet1.deleteProcedure">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9026" r:id="rId389" name="Button 3666">
              <controlPr locked="0" defaultSize="0" print="0" autoFill="0" autoPict="0" macro="[0]!Sheet1.InsertNewTabl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9027" r:id="rId390" name="Button 3667">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9028" r:id="rId391" name="Button 3668">
              <controlPr locked="0" defaultSize="0" print="0" autoFill="0" autoPict="0" macro="[0]!Sheet1.deleteProcedure">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9047" r:id="rId392" name="Button 3687">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9048" r:id="rId393" name="Button 368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9049" r:id="rId394" name="Button 3689">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9068" r:id="rId395" name="Button 3708">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9069" r:id="rId396" name="Button 3709">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9070" r:id="rId397" name="Button 3710">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9098" r:id="rId398" name="Button 3738">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9099" r:id="rId399" name="Button 373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9100" r:id="rId400" name="Button 3740">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9119" r:id="rId401" name="Button 3759">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9120" r:id="rId402" name="Button 3760">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9121" r:id="rId403" name="Button 3761">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9140" r:id="rId404" name="Button 3780">
              <controlPr locked="0" defaultSize="0" print="0" autoFill="0" autoPict="0" macro="[0]!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9141" r:id="rId405" name="Button 3781">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9142" r:id="rId406" name="Button 3782">
              <controlPr locked="0" defaultSize="0" print="0" autoFill="0" autoPict="0" macro="[0]!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9161" r:id="rId407" name="Button 3801">
              <controlPr locked="0" defaultSize="0" print="0" autoFill="0" autoPict="0" macro="[0]!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9162" r:id="rId408" name="Button 380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9163" r:id="rId409" name="Button 3803">
              <controlPr locked="0" defaultSize="0" print="0" autoFill="0" autoPict="0" macro="[0]!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9172" r:id="rId410" name="Button 381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9191" r:id="rId411" name="Button 3831">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9192" r:id="rId412" name="Button 3832">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9193" r:id="rId413" name="Button 3833">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9212" r:id="rId414" name="Button 3852">
              <controlPr locked="0" defaultSize="0" print="0" autoFill="0" autoPict="0" macro="[0]!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9213" r:id="rId415" name="Button 3853">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9214" r:id="rId416" name="Button 3854">
              <controlPr locked="0" defaultSize="0" print="0" autoFill="0" autoPict="0" macro="[0]!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9233" r:id="rId417" name="Button 3873">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9234" r:id="rId418" name="Button 3874">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9235" r:id="rId419" name="Button 3875">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9254" r:id="rId420" name="Button 3894">
              <controlPr locked="0" defaultSize="0" print="0" autoFill="0" autoPict="0" macro="[0]!Sheet1.InsertNewTabl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9255" r:id="rId421" name="Button 389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9256" r:id="rId422" name="Button 3896">
              <controlPr locked="0" defaultSize="0" print="0" autoFill="0" autoPict="0" macro="[0]!Sheet1.deleteProcedure">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9284" r:id="rId423" name="Button 3924">
              <controlPr locked="0" defaultSize="0" print="0" autoFill="0" autoPict="0" macro="[0]!Sheet1.InsertNewTabl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9285" r:id="rId424" name="Button 3925">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9286" r:id="rId425" name="Button 3926">
              <controlPr locked="0" defaultSize="0" print="0" autoFill="0" autoPict="0" macro="[0]!Sheet1.deleteProcedure">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9305" r:id="rId426" name="Button 3945">
              <controlPr locked="0" defaultSize="0" print="0" autoFill="0" autoPict="0" macro="[0]!Sheet1.InsertNewTabl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9306" r:id="rId427" name="Button 3946">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19307" r:id="rId428" name="Button 3947">
              <controlPr locked="0" defaultSize="0" print="0" autoFill="0" autoPict="0" macro="[0]!Sheet1.deleteProcedure">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9326" r:id="rId429" name="Button 3966">
              <controlPr locked="0" defaultSize="0" print="0" autoFill="0" autoPict="0" macro="[0]!Sheet1.InsertNewTabl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9327" r:id="rId430" name="Button 3967">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9328" r:id="rId431" name="Button 3968">
              <controlPr locked="0" defaultSize="0" print="0" autoFill="0" autoPict="0" macro="[0]!Sheet1.deleteProcedure">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9347" r:id="rId432" name="Button 3987">
              <controlPr locked="0" defaultSize="0" print="0" autoFill="0" autoPict="0" macro="[0]!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9348" r:id="rId433" name="Button 3988">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9349" r:id="rId434" name="Button 3989">
              <controlPr locked="0" defaultSize="0" print="0" autoFill="0" autoPict="0" macro="[0]!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9369" r:id="rId435" name="Button 4009">
              <controlPr locked="0" defaultSize="0" print="0" autoFill="0" autoPict="0" macro="[0]!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9370" r:id="rId436" name="Button 4010">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9371" r:id="rId437" name="Button 4011">
              <controlPr locked="0" defaultSize="0" print="0" autoFill="0" autoPict="0" macro="[0]!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9390" r:id="rId438" name="Button 4030">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9391" r:id="rId439" name="Button 4031">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392" r:id="rId440" name="Button 4032">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9411" r:id="rId441" name="Button 4051">
              <controlPr locked="0" defaultSize="0" print="0" autoFill="0" autoPict="0" macro="[0]!Sheet1.InsertNewTabl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9412" r:id="rId442" name="Button 4052">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9413" r:id="rId443" name="Button 4053">
              <controlPr locked="0" defaultSize="0" print="0" autoFill="0" autoPict="0" macro="[0]!Sheet1.deleteProcedure">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9432" r:id="rId444" name="Button 4072">
              <controlPr locked="0" defaultSize="0" print="0" autoFill="0" autoPict="0" macro="[0]!Sheet1.InsertNewTabl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9433" r:id="rId445" name="Button 407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9434" r:id="rId446" name="Button 4074">
              <controlPr locked="0" defaultSize="0" print="0" autoFill="0" autoPict="0" macro="[0]!Sheet1.deleteProcedure">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453" r:id="rId447" name="Button 4093">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9454" r:id="rId448" name="Button 4094">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9455" r:id="rId449" name="Button 4095">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9474" r:id="rId450" name="Button 4114">
              <controlPr locked="0" defaultSize="0" print="0" autoFill="0" autoPict="0" macro="[0]!Sheet1.InsertNewTabl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475" r:id="rId451" name="Button 4115">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476" r:id="rId452" name="Button 4116">
              <controlPr locked="0" defaultSize="0" print="0" autoFill="0" autoPict="0" macro="[0]!Sheet1.deleteProcedure">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9504" r:id="rId453" name="Button 4144">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9505" r:id="rId454" name="Button 4145">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9506" r:id="rId455" name="Button 4146">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9525" r:id="rId456" name="Button 4165">
              <controlPr locked="0" defaultSize="0" print="0" autoFill="0" autoPict="0" macro="[0]!Sheet1.InsertNewTabl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9526" r:id="rId457" name="Button 4166">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9527" r:id="rId458" name="Button 4167">
              <controlPr locked="0" defaultSize="0" print="0" autoFill="0" autoPict="0" macro="[0]!Sheet1.deleteProcedure">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546" r:id="rId459" name="Button 4186">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9547" r:id="rId460" name="Button 4187">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9548" r:id="rId461" name="Button 4188">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9567" r:id="rId462" name="Button 4207">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9568" r:id="rId463" name="Button 4208">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9569" r:id="rId464" name="Button 4209">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9578" r:id="rId465" name="Button 4218">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9579" r:id="rId466" name="Button 4219">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9580" r:id="rId467" name="Button 4220">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9581" r:id="rId468" name="Button 4221">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582" r:id="rId469" name="Button 4222">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583" r:id="rId470" name="Button 4223">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9602" r:id="rId471" name="Button 4242">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603" r:id="rId472" name="Button 424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604" r:id="rId473" name="Button 4244">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9623" r:id="rId474" name="Button 4263">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9624" r:id="rId475" name="Button 426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9625" r:id="rId476" name="Button 4265">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9644" r:id="rId477" name="Button 4284">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9645" r:id="rId478" name="Button 4285">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9646" r:id="rId479" name="Button 4286">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9718" r:id="rId480" name="Button 4358">
              <controlPr locked="0" defaultSize="0" print="0" autoFill="0" autoPict="0" macro="[0]!Sheet1.InsertNewTabl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9719" r:id="rId481" name="Button 4359">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9720" r:id="rId482" name="Button 4360">
              <controlPr locked="0" defaultSize="0" print="0" autoFill="0" autoPict="0" macro="[0]!Sheet1.deleteProcedure">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9785" r:id="rId483" name="Button 4425">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9786" r:id="rId484" name="Button 442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9787" r:id="rId485" name="Button 4427">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9806" r:id="rId486" name="Button 4446">
              <controlPr locked="0" defaultSize="0" print="0" autoFill="0" autoPict="0" macro="[0]!Sheet1.InsertNewTabl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9807" r:id="rId487" name="Button 444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9808" r:id="rId488" name="Button 4448">
              <controlPr locked="0" defaultSize="0" print="0" autoFill="0" autoPict="0" macro="[0]!Sheet1.deleteProcedure">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827" r:id="rId489" name="Button 4467">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9828" r:id="rId490" name="Button 4468">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9829" r:id="rId491" name="Button 4469">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9848" r:id="rId492" name="Button 4488">
              <controlPr locked="0" defaultSize="0" print="0" autoFill="0" autoPict="0" macro="[0]!Sheet1.InsertNewTabl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9849" r:id="rId493" name="Button 4489">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9850" r:id="rId494" name="Button 4490">
              <controlPr locked="0" defaultSize="0" print="0" autoFill="0" autoPict="0" macro="[0]!Sheet1.deleteProcedure">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9859" r:id="rId495" name="Button 4499">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9860" r:id="rId496" name="Button 450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9861" r:id="rId497" name="Button 450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9863" r:id="rId498" name="Button 450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19864" r:id="rId499" name="Button 4504">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9865" r:id="rId500" name="Button 4505">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9866" r:id="rId501" name="Button 4506">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19867" r:id="rId502" name="Button 4507">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19869" r:id="rId503" name="Button 4509">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9870" r:id="rId504" name="Button 4510">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9872" r:id="rId505" name="Button 451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9873" r:id="rId506" name="Button 451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9902" r:id="rId507" name="Button 4542">
              <controlPr locked="0" defaultSize="0" print="0" autoFill="0" autoPict="0" macro="[0]!Sheet1.InsertNewTabl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19903" r:id="rId508" name="Button 4543">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19904" r:id="rId509" name="Button 4544">
              <controlPr locked="0" defaultSize="0" print="0" autoFill="0" autoPict="0" macro="[0]!Sheet1.deleteProcedure">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19923" r:id="rId510" name="Button 4563">
              <controlPr locked="0" defaultSize="0" print="0" autoFill="0" autoPict="0" macro="[0]!Sheet1.InsertNewTabl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9924" r:id="rId511" name="Button 456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19925" r:id="rId512" name="Button 4565">
              <controlPr locked="0" defaultSize="0" print="0" autoFill="0" autoPict="0" macro="[0]!Sheet1.deleteProcedure">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19944" r:id="rId513" name="Button 4584">
              <controlPr locked="0" defaultSize="0" print="0" autoFill="0" autoPict="0" macro="[0]!Sheet1.InsertNewTabl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9945" r:id="rId514" name="Button 4585">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19946" r:id="rId515" name="Button 4586">
              <controlPr locked="0" defaultSize="0" print="0" autoFill="0" autoPict="0" macro="[0]!Sheet1.deleteProcedure">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19965" r:id="rId516" name="Button 4605">
              <controlPr locked="0" defaultSize="0" print="0" autoFill="0" autoPict="0" macro="[0]!Sheet1.InsertNewTabl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9966" r:id="rId517" name="Button 460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9967" r:id="rId518" name="Button 4607">
              <controlPr locked="0" defaultSize="0" print="0" autoFill="0" autoPict="0" macro="[0]!Sheet1.deleteProcedure">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9976" r:id="rId519" name="Button 4616">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9978" r:id="rId520" name="Button 4618">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controls>
    </mc:Choice>
  </mc:AlternateContent>
  <tableParts count="151">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C50 C61 C72 C85 C98 C109 C120 C132 C144 C157 C170 C183 C196 C207 C218 C229 C240 C251 C262 C273 C284 C295 C306 C317 C328 C339 C350 C361 C372 C383 C394 C405 C416 C427 C438 C449 C460 C471 C482 C493 C504 C515 C526 C537 C548 C559 C570 C581 C592 C604 C616 C628 C640 C651 C662 C673 C684 C695 C706 C717 C728 C739 C752 C764 C776 C790 C806 C820 C836 C847 C858 C869 C880 C891 C903 C915 C926 C937 C948 C959 C970 C981 C992 C1003 C1014 C1025 C1036 C1047 C1058 C1069 C1080 C1091 C1102 C1113 C1124 C1135 C1146 C1157 C1168 C1180 C1191 C1202 C1213 C1225 C1237 C1249 C1261 C1272 C1283 C1294 C1305 C1316 C1327 C1338 C1349 C1361 C1372 C1383 C1394 C1405 C1416 C1427 C1438 C1449 C1460 C1471 C1482 C1493 C1504 C1515 C1526 C1537 C1548 C1560 C1576 C1587 C1598 C1609 C1620 C1631 C1642 C1656 C1672 C1685 C1696 C1707 C1718 C1729</xm:sqref>
        </x14:dataValidation>
        <x14:dataValidation type="list" allowBlank="1" showInputMessage="1" showErrorMessage="1" xr:uid="{00000000-0002-0000-0100-000004000000}">
          <x14:formula1>
            <xm:f>'Informacion '!$L$3:$L$17</xm:f>
          </x14:formula1>
          <xm:sqref>D16 D27 D38 D50 D61 D72 D85 D98 D109 D120 D132 D144 D157 D170 D183 D196 D207 D218 D229 D240 D251 D262 D273 D284 D295 D306 D317 D328 D339 D350 D361 D372 D383 D394 D405 D416 D427 D438 D449 D460 D471 D482 D493 D504 D515 D526 D537 D548 D559 D570 D581 D592 D604 D616 D628 D640 D651 D662 D673 D684 D695 D706 D717 D728 D739 D752 D764 D776 D790 D806 D820 D836 D847 D858 D869 D880 D891 D903 D915 D926 D937 D948 D959 D970 D981 D992 D1003 D1014 D1025 D1036 D1047 D1058 D1069 D1080 D1091 D1102 D1113 D1124 D1135 D1146 D1157 D1168 D1180 D1191 D1202 D1213 D1225 D1237 D1249 D1261 D1272 D1283 D1294 D1305 D1316 D1327 D1338 D1349 D1361 D1372 D1383 D1394 D1405 D1416 D1427 D1438 D1449 D1460 D1471 D1482 D1493 D1504 D1515 D1526 D1537 D1548 D1560 D1576 D1587 D1598 D1609 D1620 D1631 D1642 D1656 D1672 D1685 D1696 D1707 D1718 D1729</xm:sqref>
        </x14:dataValidation>
        <x14:dataValidation type="list" allowBlank="1" showInputMessage="1" showErrorMessage="1" xr:uid="{00000000-0002-0000-0100-000005000000}">
          <x14:formula1>
            <xm:f>'Informacion '!$N$3:$N$5</xm:f>
          </x14:formula1>
          <xm:sqref>E16 E27 E38 E50 E61 E72 E85 E98 E109 E120 E132 E144 E157 E170 E183 E196 E207 E218 E229 E240 E251 E262 E273 E284 E295 E306 E317 E328 E339 E350 E361 E372 E383 E394 E405 E416 E427 E438 E449 E460 E471 E482 E493 E504 E515 E526 E537 E548 E559 E570 E581 E592 E604 E616 E628 E640 E651 E662 E673 E684 E695 E706 E717 E728 E739 E752 E764 E776 E790 E806 E820 E836 E847 E858 E869 E880 E891 E903 E915 E926 E937 E948 E959 E970 E981 E992 E1003 E1014 E1025 E1036 E1047 E1058 E1069 E1080 E1091 E1102 E1113 E1124 E1135 E1146 E1157 E1168 E1180 E1191 E1202 E1213 E1225 E1237 E1249 E1261 E1272 E1283 E1294 E1305 E1316 E1327 E1338 E1349 E1361 E1372 E1383 E1394 E1405 E1416 E1427 E1438 E1449 E1460 E1471 E1482 E1493 E1504 E1515 E1526 E1537 E1548 E1560 E1576 E1587 E1598 E1609 E1620 E1631 E1642 E1656 E1672 E1685 E1696 E1707 E1718 E1729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12436</v>
      </c>
      <c r="B1" s="13" t="s">
        <v>11976</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18111</v>
      </c>
      <c r="Q2" s="23" t="s">
        <v>5087</v>
      </c>
      <c r="S2" s="4" t="s">
        <v>12271</v>
      </c>
      <c r="U2" s="4" t="s">
        <v>12983</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5436</v>
      </c>
      <c r="Q3" s="5" t="s">
        <v>16988</v>
      </c>
      <c r="S3" s="7" t="s">
        <v>17798</v>
      </c>
      <c r="U3" s="5" t="s">
        <v>12549</v>
      </c>
    </row>
    <row r="4" spans="1:21" x14ac:dyDescent="0.2">
      <c r="A4" s="5" t="s">
        <v>8093</v>
      </c>
      <c r="B4" s="5" t="s">
        <v>1709</v>
      </c>
      <c r="C4" s="5" t="s">
        <v>12630</v>
      </c>
      <c r="D4" s="5" t="s">
        <v>1709</v>
      </c>
      <c r="E4" s="5" t="s">
        <v>8807</v>
      </c>
      <c r="F4" s="5" t="s">
        <v>4315</v>
      </c>
      <c r="G4" s="6" t="s">
        <v>3189</v>
      </c>
      <c r="H4" s="6" t="s">
        <v>7351</v>
      </c>
      <c r="I4" s="6" t="s">
        <v>13937</v>
      </c>
      <c r="J4" s="6" t="s">
        <v>841</v>
      </c>
      <c r="L4" s="7" t="s">
        <v>17483</v>
      </c>
      <c r="N4" s="5" t="s">
        <v>6033</v>
      </c>
      <c r="P4" s="5" t="s">
        <v>4869</v>
      </c>
      <c r="Q4" s="5" t="s">
        <v>10303</v>
      </c>
      <c r="S4" s="7"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11825</v>
      </c>
      <c r="Q6" s="5" t="s">
        <v>10373</v>
      </c>
      <c r="S6" s="7"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5958</v>
      </c>
      <c r="B8" s="5" t="s">
        <v>8093</v>
      </c>
      <c r="C8" s="5" t="s">
        <v>5889</v>
      </c>
      <c r="D8" s="5" t="s">
        <v>1709</v>
      </c>
      <c r="E8" s="5" t="s">
        <v>8807</v>
      </c>
      <c r="F8" s="5" t="s">
        <v>13555</v>
      </c>
      <c r="G8" s="6" t="s">
        <v>3189</v>
      </c>
      <c r="H8" s="6" t="s">
        <v>7351</v>
      </c>
      <c r="I8" s="6" t="s">
        <v>6359</v>
      </c>
      <c r="J8" s="6" t="s">
        <v>4038</v>
      </c>
      <c r="L8" s="5" t="s">
        <v>4320</v>
      </c>
      <c r="P8" s="5" t="s">
        <v>9954</v>
      </c>
      <c r="Q8" s="5" t="s">
        <v>9610</v>
      </c>
      <c r="S8" s="7"/>
    </row>
    <row r="9" spans="1:21" x14ac:dyDescent="0.2">
      <c r="A9" s="5" t="s">
        <v>12506</v>
      </c>
      <c r="B9" s="5" t="s">
        <v>3189</v>
      </c>
      <c r="C9" s="5" t="s">
        <v>7351</v>
      </c>
      <c r="D9" s="5" t="s">
        <v>1709</v>
      </c>
      <c r="E9" s="5" t="s">
        <v>8807</v>
      </c>
      <c r="F9" s="5" t="s">
        <v>14110</v>
      </c>
      <c r="G9" s="6" t="s">
        <v>3189</v>
      </c>
      <c r="H9" s="6" t="s">
        <v>7351</v>
      </c>
      <c r="I9" s="6" t="s">
        <v>6877</v>
      </c>
      <c r="J9" s="6" t="s">
        <v>6877</v>
      </c>
      <c r="L9" s="7" t="s">
        <v>7198</v>
      </c>
      <c r="P9" s="5" t="s">
        <v>17161</v>
      </c>
      <c r="Q9" s="5" t="s">
        <v>2023</v>
      </c>
      <c r="S9" s="8"/>
    </row>
    <row r="10" spans="1:21" x14ac:dyDescent="0.2">
      <c r="A10" s="5" t="s">
        <v>17539</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13869</v>
      </c>
      <c r="L11" s="5" t="s">
        <v>11340</v>
      </c>
      <c r="P11" s="5" t="s">
        <v>5507</v>
      </c>
      <c r="Q11" s="5" t="s">
        <v>9559</v>
      </c>
    </row>
    <row r="12" spans="1:21" ht="22.5" x14ac:dyDescent="0.2">
      <c r="A12" s="5" t="s">
        <v>3080</v>
      </c>
      <c r="B12" s="5" t="s">
        <v>3189</v>
      </c>
      <c r="C12" s="5" t="s">
        <v>5430</v>
      </c>
      <c r="D12" s="5" t="s">
        <v>1709</v>
      </c>
      <c r="E12" s="5" t="s">
        <v>12630</v>
      </c>
      <c r="F12" s="5" t="s">
        <v>17503</v>
      </c>
      <c r="G12" s="6" t="s">
        <v>3189</v>
      </c>
      <c r="H12" s="6" t="s">
        <v>7351</v>
      </c>
      <c r="I12" s="6" t="s">
        <v>3661</v>
      </c>
      <c r="J12" s="6" t="s">
        <v>17127</v>
      </c>
      <c r="L12" s="5" t="s">
        <v>15036</v>
      </c>
      <c r="P12" s="5" t="s">
        <v>3811</v>
      </c>
      <c r="Q12" s="5" t="s">
        <v>14294</v>
      </c>
      <c r="S12" s="22"/>
    </row>
    <row r="13" spans="1:21" ht="22.5" x14ac:dyDescent="0.2">
      <c r="B13" s="5" t="s">
        <v>1492</v>
      </c>
      <c r="C13" s="5" t="s">
        <v>11525</v>
      </c>
      <c r="D13" s="5" t="s">
        <v>1709</v>
      </c>
      <c r="E13" s="5" t="s">
        <v>12630</v>
      </c>
      <c r="F13" s="5" t="s">
        <v>18403</v>
      </c>
      <c r="G13" s="6" t="s">
        <v>3189</v>
      </c>
      <c r="H13" s="6" t="s">
        <v>7351</v>
      </c>
      <c r="I13" s="6" t="s">
        <v>3661</v>
      </c>
      <c r="J13" s="6" t="s">
        <v>16864</v>
      </c>
      <c r="L13" s="7" t="s">
        <v>2518</v>
      </c>
      <c r="P13" s="5" t="s">
        <v>3806</v>
      </c>
      <c r="Q13" s="5" t="s">
        <v>4693</v>
      </c>
      <c r="S13" s="22"/>
    </row>
    <row r="14" spans="1:21" ht="22.5" x14ac:dyDescent="0.2">
      <c r="B14" s="5" t="s">
        <v>1492</v>
      </c>
      <c r="C14" s="5" t="s">
        <v>10527</v>
      </c>
      <c r="D14" s="5" t="s">
        <v>1709</v>
      </c>
      <c r="E14" s="5" t="s">
        <v>12630</v>
      </c>
      <c r="F14" s="5" t="s">
        <v>549</v>
      </c>
      <c r="G14" s="6" t="s">
        <v>3189</v>
      </c>
      <c r="H14" s="6" t="s">
        <v>7351</v>
      </c>
      <c r="I14" s="6" t="s">
        <v>3661</v>
      </c>
      <c r="J14" s="6" t="s">
        <v>16955</v>
      </c>
      <c r="L14" s="7" t="s">
        <v>17901</v>
      </c>
      <c r="P14" s="5" t="s">
        <v>15634</v>
      </c>
      <c r="Q14" s="5" t="s">
        <v>5293</v>
      </c>
    </row>
    <row r="15" spans="1:21" ht="22.5" x14ac:dyDescent="0.2">
      <c r="B15" s="5" t="s">
        <v>1492</v>
      </c>
      <c r="C15" s="5" t="s">
        <v>13973</v>
      </c>
      <c r="D15" s="5" t="s">
        <v>1709</v>
      </c>
      <c r="E15" s="5" t="s">
        <v>12630</v>
      </c>
      <c r="F15" s="5" t="s">
        <v>18116</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4865</v>
      </c>
      <c r="Q16" s="5" t="s">
        <v>13532</v>
      </c>
    </row>
    <row r="17" spans="2:17" x14ac:dyDescent="0.2">
      <c r="B17" s="5" t="s">
        <v>18355</v>
      </c>
      <c r="C17" s="5" t="s">
        <v>15160</v>
      </c>
      <c r="D17" s="5" t="s">
        <v>1709</v>
      </c>
      <c r="E17" s="5" t="s">
        <v>12630</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12630</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12630</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12630</v>
      </c>
      <c r="F20" s="5" t="s">
        <v>1623</v>
      </c>
      <c r="G20" s="6" t="s">
        <v>3189</v>
      </c>
      <c r="H20" s="6" t="s">
        <v>7351</v>
      </c>
      <c r="I20" s="6" t="s">
        <v>1382</v>
      </c>
      <c r="J20" s="6" t="s">
        <v>1382</v>
      </c>
      <c r="P20" s="5" t="s">
        <v>12955</v>
      </c>
      <c r="Q20" s="5" t="s">
        <v>18143</v>
      </c>
    </row>
    <row r="21" spans="2:17" ht="22.5" x14ac:dyDescent="0.2">
      <c r="B21" s="5" t="s">
        <v>5958</v>
      </c>
      <c r="C21" s="5" t="s">
        <v>2698</v>
      </c>
      <c r="D21" s="5" t="s">
        <v>1709</v>
      </c>
      <c r="E21" s="5" t="s">
        <v>17757</v>
      </c>
      <c r="F21" s="5" t="s">
        <v>4881</v>
      </c>
      <c r="G21" s="6" t="s">
        <v>3189</v>
      </c>
      <c r="H21" s="6" t="s">
        <v>10736</v>
      </c>
      <c r="I21" s="6" t="s">
        <v>11258</v>
      </c>
      <c r="J21" s="6" t="s">
        <v>5375</v>
      </c>
      <c r="P21" s="5" t="s">
        <v>305</v>
      </c>
      <c r="Q21" s="5" t="s">
        <v>13263</v>
      </c>
    </row>
    <row r="22" spans="2:17" ht="22.5" x14ac:dyDescent="0.2">
      <c r="B22" s="5" t="s">
        <v>5958</v>
      </c>
      <c r="C22" s="5" t="s">
        <v>5614</v>
      </c>
      <c r="D22" s="5" t="s">
        <v>1709</v>
      </c>
      <c r="E22" s="5" t="s">
        <v>17757</v>
      </c>
      <c r="F22" s="5" t="s">
        <v>46</v>
      </c>
      <c r="G22" s="6" t="s">
        <v>3189</v>
      </c>
      <c r="H22" s="6" t="s">
        <v>10736</v>
      </c>
      <c r="I22" s="6" t="s">
        <v>11258</v>
      </c>
      <c r="J22" s="6" t="s">
        <v>11258</v>
      </c>
      <c r="P22" s="5" t="s">
        <v>4443</v>
      </c>
      <c r="Q22" s="5" t="s">
        <v>17559</v>
      </c>
    </row>
    <row r="23" spans="2:17" ht="22.5" x14ac:dyDescent="0.2">
      <c r="B23" s="5" t="s">
        <v>5958</v>
      </c>
      <c r="C23" s="5" t="s">
        <v>18822</v>
      </c>
      <c r="D23" s="5" t="s">
        <v>1709</v>
      </c>
      <c r="E23" s="5" t="s">
        <v>17757</v>
      </c>
      <c r="F23" s="5" t="s">
        <v>13269</v>
      </c>
      <c r="G23" s="6" t="s">
        <v>3189</v>
      </c>
      <c r="H23" s="6" t="s">
        <v>10736</v>
      </c>
      <c r="I23" s="6" t="s">
        <v>5245</v>
      </c>
      <c r="J23" s="6" t="s">
        <v>16931</v>
      </c>
      <c r="P23" s="5" t="s">
        <v>1174</v>
      </c>
      <c r="Q23" s="5" t="s">
        <v>10020</v>
      </c>
    </row>
    <row r="24" spans="2:17" ht="22.5" x14ac:dyDescent="0.2">
      <c r="B24" s="5" t="s">
        <v>5958</v>
      </c>
      <c r="C24" s="5" t="s">
        <v>12704</v>
      </c>
      <c r="D24" s="5" t="s">
        <v>1709</v>
      </c>
      <c r="E24" s="5" t="s">
        <v>17757</v>
      </c>
      <c r="F24" s="5" t="s">
        <v>3364</v>
      </c>
      <c r="G24" s="6" t="s">
        <v>3189</v>
      </c>
      <c r="H24" s="6" t="s">
        <v>10736</v>
      </c>
      <c r="I24" s="6" t="s">
        <v>5245</v>
      </c>
      <c r="J24" s="6" t="s">
        <v>5245</v>
      </c>
      <c r="P24" s="5" t="s">
        <v>7453</v>
      </c>
      <c r="Q24" s="5" t="s">
        <v>6822</v>
      </c>
    </row>
    <row r="25" spans="2:17" ht="22.5" x14ac:dyDescent="0.2">
      <c r="B25" s="5" t="s">
        <v>12506</v>
      </c>
      <c r="C25" s="5" t="s">
        <v>3429</v>
      </c>
      <c r="D25" s="5" t="s">
        <v>8093</v>
      </c>
      <c r="E25" s="5" t="s">
        <v>18173</v>
      </c>
      <c r="F25" s="5" t="s">
        <v>1154</v>
      </c>
      <c r="G25" s="6" t="s">
        <v>3189</v>
      </c>
      <c r="H25" s="6" t="s">
        <v>10736</v>
      </c>
      <c r="I25" s="6" t="s">
        <v>15242</v>
      </c>
      <c r="J25" s="6" t="s">
        <v>15242</v>
      </c>
      <c r="P25" s="5" t="s">
        <v>4868</v>
      </c>
      <c r="Q25" s="5" t="s">
        <v>15648</v>
      </c>
    </row>
    <row r="26" spans="2:17" ht="22.5" x14ac:dyDescent="0.2">
      <c r="B26" s="5" t="s">
        <v>12506</v>
      </c>
      <c r="C26" s="5" t="s">
        <v>2459</v>
      </c>
      <c r="D26" s="5" t="s">
        <v>8093</v>
      </c>
      <c r="E26" s="5" t="s">
        <v>18173</v>
      </c>
      <c r="F26" s="5" t="s">
        <v>18783</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5078</v>
      </c>
    </row>
    <row r="28" spans="2:17" ht="22.5" x14ac:dyDescent="0.2">
      <c r="B28" s="5" t="s">
        <v>17539</v>
      </c>
      <c r="C28" s="5" t="s">
        <v>628</v>
      </c>
      <c r="D28" s="5" t="s">
        <v>8093</v>
      </c>
      <c r="E28" s="5" t="s">
        <v>18173</v>
      </c>
      <c r="F28" s="5" t="s">
        <v>18434</v>
      </c>
      <c r="G28" s="6" t="s">
        <v>3189</v>
      </c>
      <c r="H28" s="6" t="s">
        <v>2813</v>
      </c>
      <c r="I28" s="6" t="s">
        <v>10848</v>
      </c>
      <c r="J28" s="6" t="s">
        <v>5953</v>
      </c>
      <c r="P28" s="5" t="s">
        <v>12996</v>
      </c>
      <c r="Q28" s="5" t="s">
        <v>6740</v>
      </c>
    </row>
    <row r="29" spans="2:17" ht="22.5" x14ac:dyDescent="0.2">
      <c r="B29" s="5" t="s">
        <v>17539</v>
      </c>
      <c r="C29" s="5" t="s">
        <v>10723</v>
      </c>
      <c r="D29" s="5" t="s">
        <v>8093</v>
      </c>
      <c r="E29" s="5" t="s">
        <v>2599</v>
      </c>
      <c r="F29" s="5" t="s">
        <v>12129</v>
      </c>
      <c r="G29" s="6" t="s">
        <v>3189</v>
      </c>
      <c r="H29" s="6" t="s">
        <v>2813</v>
      </c>
      <c r="I29" s="6" t="s">
        <v>3122</v>
      </c>
      <c r="J29" s="6" t="s">
        <v>3122</v>
      </c>
      <c r="P29" s="5" t="s">
        <v>5198</v>
      </c>
      <c r="Q29" s="5" t="s">
        <v>4735</v>
      </c>
    </row>
    <row r="30" spans="2:17" ht="22.5" x14ac:dyDescent="0.2">
      <c r="B30" s="5" t="s">
        <v>16542</v>
      </c>
      <c r="C30" s="5" t="s">
        <v>9643</v>
      </c>
      <c r="D30" s="5" t="s">
        <v>8093</v>
      </c>
      <c r="E30" s="5" t="s">
        <v>2599</v>
      </c>
      <c r="F30" s="5" t="s">
        <v>5829</v>
      </c>
      <c r="G30" s="6" t="s">
        <v>3189</v>
      </c>
      <c r="H30" s="6" t="s">
        <v>2813</v>
      </c>
      <c r="I30" s="6" t="s">
        <v>3122</v>
      </c>
      <c r="J30" s="6" t="s">
        <v>15385</v>
      </c>
      <c r="P30" s="5" t="s">
        <v>11826</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4982</v>
      </c>
      <c r="Q31" s="5" t="s">
        <v>3843</v>
      </c>
    </row>
    <row r="32" spans="2:17" ht="22.5" x14ac:dyDescent="0.2">
      <c r="B32" s="5" t="s">
        <v>16542</v>
      </c>
      <c r="C32" s="5" t="s">
        <v>8704</v>
      </c>
      <c r="D32" s="5" t="s">
        <v>8093</v>
      </c>
      <c r="E32" s="5" t="s">
        <v>5889</v>
      </c>
      <c r="F32" s="5" t="s">
        <v>1828</v>
      </c>
      <c r="G32" s="6" t="s">
        <v>3189</v>
      </c>
      <c r="H32" s="6" t="s">
        <v>2813</v>
      </c>
      <c r="I32" s="6" t="s">
        <v>10950</v>
      </c>
      <c r="J32" s="6" t="s">
        <v>4446</v>
      </c>
      <c r="P32" s="5" t="s">
        <v>4983</v>
      </c>
      <c r="Q32" s="5" t="s">
        <v>12281</v>
      </c>
    </row>
    <row r="33" spans="2:17" ht="22.5" x14ac:dyDescent="0.2">
      <c r="B33" s="5" t="s">
        <v>3080</v>
      </c>
      <c r="C33" s="5" t="s">
        <v>11111</v>
      </c>
      <c r="D33" s="5" t="s">
        <v>8093</v>
      </c>
      <c r="E33" s="5" t="s">
        <v>5889</v>
      </c>
      <c r="F33" s="5" t="s">
        <v>39</v>
      </c>
      <c r="G33" s="6" t="s">
        <v>3189</v>
      </c>
      <c r="H33" s="6" t="s">
        <v>2813</v>
      </c>
      <c r="I33" s="6" t="s">
        <v>10950</v>
      </c>
      <c r="J33" s="6" t="s">
        <v>10950</v>
      </c>
      <c r="P33" s="5" t="s">
        <v>12940</v>
      </c>
      <c r="Q33" s="5" t="s">
        <v>7578</v>
      </c>
    </row>
    <row r="34" spans="2:17" ht="22.5" x14ac:dyDescent="0.2">
      <c r="B34" s="5" t="s">
        <v>3080</v>
      </c>
      <c r="C34" s="5" t="s">
        <v>14448</v>
      </c>
      <c r="D34" s="5" t="s">
        <v>8093</v>
      </c>
      <c r="E34" s="5" t="s">
        <v>5889</v>
      </c>
      <c r="F34" s="5" t="s">
        <v>9708</v>
      </c>
      <c r="G34" s="6" t="s">
        <v>3189</v>
      </c>
      <c r="H34" s="6" t="s">
        <v>2813</v>
      </c>
      <c r="I34" s="6" t="s">
        <v>10950</v>
      </c>
      <c r="J34" s="6" t="s">
        <v>14031</v>
      </c>
      <c r="P34" s="5" t="s">
        <v>10942</v>
      </c>
      <c r="Q34" s="5" t="s">
        <v>7578</v>
      </c>
    </row>
    <row r="35" spans="2:17" ht="22.5" x14ac:dyDescent="0.2">
      <c r="D35" s="5" t="s">
        <v>8093</v>
      </c>
      <c r="E35" s="5" t="s">
        <v>5889</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12994</v>
      </c>
      <c r="J36" s="6" t="s">
        <v>12994</v>
      </c>
      <c r="P36" s="5" t="s">
        <v>17627</v>
      </c>
      <c r="Q36" s="5" t="s">
        <v>11115</v>
      </c>
    </row>
    <row r="37" spans="2:17" x14ac:dyDescent="0.2">
      <c r="D37" s="5" t="s">
        <v>3189</v>
      </c>
      <c r="E37" s="5" t="s">
        <v>7351</v>
      </c>
      <c r="F37" s="5" t="s">
        <v>13937</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13047</v>
      </c>
      <c r="Q38" s="5" t="s">
        <v>8725</v>
      </c>
    </row>
    <row r="39" spans="2:17" ht="22.5" x14ac:dyDescent="0.2">
      <c r="D39" s="5" t="s">
        <v>3189</v>
      </c>
      <c r="E39" s="5" t="s">
        <v>7351</v>
      </c>
      <c r="F39" s="5" t="s">
        <v>6359</v>
      </c>
      <c r="G39" s="6" t="s">
        <v>3189</v>
      </c>
      <c r="H39" s="6" t="s">
        <v>5430</v>
      </c>
      <c r="I39" s="6" t="s">
        <v>1527</v>
      </c>
      <c r="J39" s="6" t="s">
        <v>7713</v>
      </c>
      <c r="P39" s="5" t="s">
        <v>12642</v>
      </c>
      <c r="Q39" s="5" t="s">
        <v>759</v>
      </c>
    </row>
    <row r="40" spans="2:17" ht="22.5" x14ac:dyDescent="0.2">
      <c r="D40" s="5" t="s">
        <v>3189</v>
      </c>
      <c r="E40" s="5" t="s">
        <v>7351</v>
      </c>
      <c r="F40" s="5" t="s">
        <v>4810</v>
      </c>
      <c r="G40" s="6" t="s">
        <v>3189</v>
      </c>
      <c r="H40" s="6" t="s">
        <v>5430</v>
      </c>
      <c r="I40" s="6" t="s">
        <v>1527</v>
      </c>
      <c r="J40" s="6" t="s">
        <v>18213</v>
      </c>
      <c r="P40" s="5" t="s">
        <v>4140</v>
      </c>
      <c r="Q40" s="5" t="s">
        <v>14140</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12133</v>
      </c>
      <c r="I42" s="6" t="s">
        <v>12133</v>
      </c>
      <c r="J42" s="6" t="s">
        <v>8377</v>
      </c>
      <c r="P42" s="5" t="s">
        <v>4283</v>
      </c>
      <c r="Q42" s="5" t="s">
        <v>8628</v>
      </c>
    </row>
    <row r="43" spans="2:17" x14ac:dyDescent="0.2">
      <c r="D43" s="5" t="s">
        <v>3189</v>
      </c>
      <c r="E43" s="5" t="s">
        <v>10736</v>
      </c>
      <c r="F43" s="5" t="s">
        <v>11258</v>
      </c>
      <c r="G43" s="6" t="s">
        <v>1492</v>
      </c>
      <c r="H43" s="6" t="s">
        <v>12133</v>
      </c>
      <c r="I43" s="6" t="s">
        <v>12133</v>
      </c>
      <c r="J43" s="6" t="s">
        <v>12133</v>
      </c>
      <c r="P43" s="5" t="s">
        <v>15808</v>
      </c>
      <c r="Q43" s="5" t="s">
        <v>7959</v>
      </c>
    </row>
    <row r="44" spans="2:17" x14ac:dyDescent="0.2">
      <c r="D44" s="5" t="s">
        <v>3189</v>
      </c>
      <c r="E44" s="5" t="s">
        <v>10736</v>
      </c>
      <c r="F44" s="5" t="s">
        <v>5245</v>
      </c>
      <c r="G44" s="6" t="s">
        <v>1492</v>
      </c>
      <c r="H44" s="6" t="s">
        <v>12133</v>
      </c>
      <c r="I44" s="6" t="s">
        <v>18774</v>
      </c>
      <c r="J44" s="6" t="s">
        <v>18774</v>
      </c>
    </row>
    <row r="45" spans="2:17" x14ac:dyDescent="0.2">
      <c r="D45" s="5" t="s">
        <v>3189</v>
      </c>
      <c r="E45" s="5" t="s">
        <v>10736</v>
      </c>
      <c r="F45" s="5" t="s">
        <v>15242</v>
      </c>
      <c r="G45" s="6" t="s">
        <v>1492</v>
      </c>
      <c r="H45" s="6" t="s">
        <v>12133</v>
      </c>
      <c r="I45" s="6" t="s">
        <v>18774</v>
      </c>
      <c r="J45" s="6" t="s">
        <v>8975</v>
      </c>
    </row>
    <row r="46" spans="2:17" ht="22.5" x14ac:dyDescent="0.2">
      <c r="D46" s="5" t="s">
        <v>3189</v>
      </c>
      <c r="E46" s="5" t="s">
        <v>2813</v>
      </c>
      <c r="F46" s="5" t="s">
        <v>10950</v>
      </c>
      <c r="G46" s="6" t="s">
        <v>1492</v>
      </c>
      <c r="H46" s="6" t="s">
        <v>12133</v>
      </c>
      <c r="I46" s="6" t="s">
        <v>10333</v>
      </c>
      <c r="J46" s="6" t="s">
        <v>12033</v>
      </c>
    </row>
    <row r="47" spans="2:17" ht="22.5" x14ac:dyDescent="0.2">
      <c r="D47" s="5" t="s">
        <v>3189</v>
      </c>
      <c r="E47" s="5" t="s">
        <v>2813</v>
      </c>
      <c r="F47" s="5" t="s">
        <v>10848</v>
      </c>
      <c r="G47" s="6" t="s">
        <v>1492</v>
      </c>
      <c r="H47" s="6" t="s">
        <v>12133</v>
      </c>
      <c r="I47" s="6" t="s">
        <v>10333</v>
      </c>
      <c r="J47" s="6" t="s">
        <v>10333</v>
      </c>
    </row>
    <row r="48" spans="2:17" ht="22.5" x14ac:dyDescent="0.2">
      <c r="D48" s="5" t="s">
        <v>3189</v>
      </c>
      <c r="E48" s="5" t="s">
        <v>2813</v>
      </c>
      <c r="F48" s="5" t="s">
        <v>3122</v>
      </c>
      <c r="G48" s="6" t="s">
        <v>1492</v>
      </c>
      <c r="H48" s="6" t="s">
        <v>12133</v>
      </c>
      <c r="I48" s="6" t="s">
        <v>10333</v>
      </c>
      <c r="J48" s="6" t="s">
        <v>1606</v>
      </c>
    </row>
    <row r="49" spans="4:10" x14ac:dyDescent="0.2">
      <c r="D49" s="5" t="s">
        <v>3189</v>
      </c>
      <c r="E49" s="5" t="s">
        <v>2813</v>
      </c>
      <c r="F49" s="5" t="s">
        <v>15594</v>
      </c>
      <c r="G49" s="6" t="s">
        <v>1492</v>
      </c>
      <c r="H49" s="6" t="s">
        <v>12133</v>
      </c>
      <c r="I49" s="6" t="s">
        <v>992</v>
      </c>
      <c r="J49" s="6" t="s">
        <v>992</v>
      </c>
    </row>
    <row r="50" spans="4:10" x14ac:dyDescent="0.2">
      <c r="D50" s="5" t="s">
        <v>3189</v>
      </c>
      <c r="E50" s="5" t="s">
        <v>5430</v>
      </c>
      <c r="F50" s="5" t="s">
        <v>1527</v>
      </c>
      <c r="G50" s="6" t="s">
        <v>1492</v>
      </c>
      <c r="H50" s="6" t="s">
        <v>12133</v>
      </c>
      <c r="I50" s="6" t="s">
        <v>1517</v>
      </c>
      <c r="J50" s="6" t="s">
        <v>1517</v>
      </c>
    </row>
    <row r="51" spans="4:10" x14ac:dyDescent="0.2">
      <c r="D51" s="5" t="s">
        <v>3189</v>
      </c>
      <c r="E51" s="5" t="s">
        <v>5430</v>
      </c>
      <c r="F51" s="5" t="s">
        <v>8199</v>
      </c>
      <c r="G51" s="6" t="s">
        <v>1492</v>
      </c>
      <c r="H51" s="6" t="s">
        <v>13973</v>
      </c>
      <c r="I51" s="6" t="s">
        <v>8128</v>
      </c>
      <c r="J51" s="6" t="s">
        <v>8128</v>
      </c>
    </row>
    <row r="52" spans="4:10" x14ac:dyDescent="0.2">
      <c r="D52" s="5" t="s">
        <v>3189</v>
      </c>
      <c r="E52" s="5" t="s">
        <v>5430</v>
      </c>
      <c r="F52" s="5" t="s">
        <v>12994</v>
      </c>
      <c r="G52" s="6" t="s">
        <v>1492</v>
      </c>
      <c r="H52" s="6" t="s">
        <v>13973</v>
      </c>
      <c r="I52" s="6" t="s">
        <v>8128</v>
      </c>
      <c r="J52" s="6" t="s">
        <v>16890</v>
      </c>
    </row>
    <row r="53" spans="4:10" x14ac:dyDescent="0.2">
      <c r="D53" s="5" t="s">
        <v>1492</v>
      </c>
      <c r="E53" s="5" t="s">
        <v>11525</v>
      </c>
      <c r="F53" s="5" t="s">
        <v>1268</v>
      </c>
      <c r="G53" s="6" t="s">
        <v>1492</v>
      </c>
      <c r="H53" s="6" t="s">
        <v>13973</v>
      </c>
      <c r="I53" s="6" t="s">
        <v>14519</v>
      </c>
      <c r="J53" s="6" t="s">
        <v>17394</v>
      </c>
    </row>
    <row r="54" spans="4:10" x14ac:dyDescent="0.2">
      <c r="D54" s="5" t="s">
        <v>1492</v>
      </c>
      <c r="E54" s="5" t="s">
        <v>11525</v>
      </c>
      <c r="F54" s="5" t="s">
        <v>6616</v>
      </c>
      <c r="G54" s="6" t="s">
        <v>1492</v>
      </c>
      <c r="H54" s="6" t="s">
        <v>13973</v>
      </c>
      <c r="I54" s="6" t="s">
        <v>14519</v>
      </c>
      <c r="J54" s="6" t="s">
        <v>14519</v>
      </c>
    </row>
    <row r="55" spans="4:10" x14ac:dyDescent="0.2">
      <c r="D55" s="5" t="s">
        <v>1492</v>
      </c>
      <c r="E55" s="5" t="s">
        <v>11525</v>
      </c>
      <c r="F55" s="5" t="s">
        <v>6488</v>
      </c>
      <c r="G55" s="6" t="s">
        <v>1492</v>
      </c>
      <c r="H55" s="6" t="s">
        <v>13973</v>
      </c>
      <c r="I55" s="6" t="s">
        <v>14519</v>
      </c>
      <c r="J55" s="6" t="s">
        <v>4022</v>
      </c>
    </row>
    <row r="56" spans="4:10" x14ac:dyDescent="0.2">
      <c r="D56" s="5" t="s">
        <v>1492</v>
      </c>
      <c r="E56" s="5" t="s">
        <v>10527</v>
      </c>
      <c r="F56" s="5" t="s">
        <v>18318</v>
      </c>
      <c r="G56" s="6" t="s">
        <v>1492</v>
      </c>
      <c r="H56" s="6" t="s">
        <v>13973</v>
      </c>
      <c r="I56" s="6" t="s">
        <v>14519</v>
      </c>
      <c r="J56" s="6" t="s">
        <v>17970</v>
      </c>
    </row>
    <row r="57" spans="4:10" ht="22.5" x14ac:dyDescent="0.2">
      <c r="D57" s="5" t="s">
        <v>1492</v>
      </c>
      <c r="E57" s="5" t="s">
        <v>10527</v>
      </c>
      <c r="F57" s="5" t="s">
        <v>14981</v>
      </c>
      <c r="G57" s="6" t="s">
        <v>1492</v>
      </c>
      <c r="H57" s="6" t="s">
        <v>13973</v>
      </c>
      <c r="I57" s="6" t="s">
        <v>16865</v>
      </c>
      <c r="J57" s="6" t="s">
        <v>16865</v>
      </c>
    </row>
    <row r="58" spans="4:10" x14ac:dyDescent="0.2">
      <c r="D58" s="5" t="s">
        <v>1492</v>
      </c>
      <c r="E58" s="5" t="s">
        <v>10527</v>
      </c>
      <c r="F58" s="5" t="s">
        <v>12423</v>
      </c>
      <c r="G58" s="6" t="s">
        <v>1492</v>
      </c>
      <c r="H58" s="6" t="s">
        <v>13973</v>
      </c>
      <c r="I58" s="6" t="s">
        <v>4085</v>
      </c>
      <c r="J58" s="6" t="s">
        <v>4085</v>
      </c>
    </row>
    <row r="59" spans="4:10" ht="22.5" x14ac:dyDescent="0.2">
      <c r="D59" s="5" t="s">
        <v>1492</v>
      </c>
      <c r="E59" s="5" t="s">
        <v>13973</v>
      </c>
      <c r="F59" s="5" t="s">
        <v>8556</v>
      </c>
      <c r="G59" s="6" t="s">
        <v>1492</v>
      </c>
      <c r="H59" s="6" t="s">
        <v>13973</v>
      </c>
      <c r="I59" s="6" t="s">
        <v>8556</v>
      </c>
      <c r="J59" s="6" t="s">
        <v>8556</v>
      </c>
    </row>
    <row r="60" spans="4:10" x14ac:dyDescent="0.2">
      <c r="D60" s="5" t="s">
        <v>1492</v>
      </c>
      <c r="E60" s="5" t="s">
        <v>13973</v>
      </c>
      <c r="F60" s="5" t="s">
        <v>8128</v>
      </c>
      <c r="G60" s="6" t="s">
        <v>1492</v>
      </c>
      <c r="H60" s="6" t="s">
        <v>13973</v>
      </c>
      <c r="I60" s="6" t="s">
        <v>18799</v>
      </c>
      <c r="J60" s="6" t="s">
        <v>18799</v>
      </c>
    </row>
    <row r="61" spans="4:10" ht="22.5" x14ac:dyDescent="0.2">
      <c r="D61" s="5" t="s">
        <v>1492</v>
      </c>
      <c r="E61" s="5" t="s">
        <v>13973</v>
      </c>
      <c r="F61" s="5" t="s">
        <v>14519</v>
      </c>
      <c r="G61" s="6" t="s">
        <v>1492</v>
      </c>
      <c r="H61" s="6" t="s">
        <v>10527</v>
      </c>
      <c r="I61" s="6" t="s">
        <v>12423</v>
      </c>
      <c r="J61" s="6" t="s">
        <v>12423</v>
      </c>
    </row>
    <row r="62" spans="4:10" ht="22.5" x14ac:dyDescent="0.2">
      <c r="D62" s="5" t="s">
        <v>1492</v>
      </c>
      <c r="E62" s="5" t="s">
        <v>13973</v>
      </c>
      <c r="F62" s="5" t="s">
        <v>16865</v>
      </c>
      <c r="G62" s="6" t="s">
        <v>1492</v>
      </c>
      <c r="H62" s="6" t="s">
        <v>10527</v>
      </c>
      <c r="I62" s="6" t="s">
        <v>18318</v>
      </c>
      <c r="J62" s="6" t="s">
        <v>18318</v>
      </c>
    </row>
    <row r="63" spans="4:10" ht="22.5" x14ac:dyDescent="0.2">
      <c r="D63" s="5" t="s">
        <v>1492</v>
      </c>
      <c r="E63" s="5" t="s">
        <v>13973</v>
      </c>
      <c r="F63" s="5" t="s">
        <v>4085</v>
      </c>
      <c r="G63" s="6" t="s">
        <v>1492</v>
      </c>
      <c r="H63" s="6" t="s">
        <v>10527</v>
      </c>
      <c r="I63" s="6" t="s">
        <v>14981</v>
      </c>
      <c r="J63" s="6" t="s">
        <v>14981</v>
      </c>
    </row>
    <row r="64" spans="4:10" x14ac:dyDescent="0.2">
      <c r="D64" s="5" t="s">
        <v>1492</v>
      </c>
      <c r="E64" s="5" t="s">
        <v>13973</v>
      </c>
      <c r="F64" s="5" t="s">
        <v>18799</v>
      </c>
      <c r="G64" s="6" t="s">
        <v>1492</v>
      </c>
      <c r="H64" s="6" t="s">
        <v>11525</v>
      </c>
      <c r="I64" s="6" t="s">
        <v>6616</v>
      </c>
      <c r="J64" s="6" t="s">
        <v>3280</v>
      </c>
    </row>
    <row r="65" spans="4:10" x14ac:dyDescent="0.2">
      <c r="D65" s="5" t="s">
        <v>1492</v>
      </c>
      <c r="E65" s="5" t="s">
        <v>12133</v>
      </c>
      <c r="F65" s="5" t="s">
        <v>12133</v>
      </c>
      <c r="G65" s="6" t="s">
        <v>1492</v>
      </c>
      <c r="H65" s="6" t="s">
        <v>11525</v>
      </c>
      <c r="I65" s="6" t="s">
        <v>6616</v>
      </c>
      <c r="J65" s="6" t="s">
        <v>6616</v>
      </c>
    </row>
    <row r="66" spans="4:10" x14ac:dyDescent="0.2">
      <c r="D66" s="5" t="s">
        <v>1492</v>
      </c>
      <c r="E66" s="5" t="s">
        <v>12133</v>
      </c>
      <c r="F66" s="5" t="s">
        <v>10333</v>
      </c>
      <c r="G66" s="6" t="s">
        <v>1492</v>
      </c>
      <c r="H66" s="6" t="s">
        <v>11525</v>
      </c>
      <c r="I66" s="6" t="s">
        <v>6616</v>
      </c>
      <c r="J66" s="6" t="s">
        <v>9904</v>
      </c>
    </row>
    <row r="67" spans="4:10" x14ac:dyDescent="0.2">
      <c r="D67" s="5" t="s">
        <v>1492</v>
      </c>
      <c r="E67" s="5" t="s">
        <v>12133</v>
      </c>
      <c r="F67" s="5" t="s">
        <v>1517</v>
      </c>
      <c r="G67" s="6" t="s">
        <v>1492</v>
      </c>
      <c r="H67" s="6" t="s">
        <v>11525</v>
      </c>
      <c r="I67" s="6" t="s">
        <v>6616</v>
      </c>
      <c r="J67" s="6" t="s">
        <v>3746</v>
      </c>
    </row>
    <row r="68" spans="4:10" x14ac:dyDescent="0.2">
      <c r="D68" s="5" t="s">
        <v>1492</v>
      </c>
      <c r="E68" s="5" t="s">
        <v>12133</v>
      </c>
      <c r="F68" s="5" t="s">
        <v>992</v>
      </c>
      <c r="G68" s="6" t="s">
        <v>1492</v>
      </c>
      <c r="H68" s="6" t="s">
        <v>11525</v>
      </c>
      <c r="I68" s="6" t="s">
        <v>6616</v>
      </c>
      <c r="J68" s="6" t="s">
        <v>15207</v>
      </c>
    </row>
    <row r="69" spans="4:10" x14ac:dyDescent="0.2">
      <c r="D69" s="5" t="s">
        <v>1492</v>
      </c>
      <c r="E69" s="5" t="s">
        <v>12133</v>
      </c>
      <c r="F69" s="5" t="s">
        <v>18774</v>
      </c>
      <c r="G69" s="6" t="s">
        <v>1492</v>
      </c>
      <c r="H69" s="6" t="s">
        <v>11525</v>
      </c>
      <c r="I69" s="6" t="s">
        <v>6488</v>
      </c>
      <c r="J69" s="6" t="s">
        <v>14208</v>
      </c>
    </row>
    <row r="70" spans="4:10" x14ac:dyDescent="0.2">
      <c r="D70" s="5" t="s">
        <v>18355</v>
      </c>
      <c r="E70" s="5" t="s">
        <v>15160</v>
      </c>
      <c r="F70" s="5" t="s">
        <v>15160</v>
      </c>
      <c r="G70" s="6" t="s">
        <v>1492</v>
      </c>
      <c r="H70" s="6" t="s">
        <v>11525</v>
      </c>
      <c r="I70" s="6" t="s">
        <v>6488</v>
      </c>
      <c r="J70" s="6" t="s">
        <v>14274</v>
      </c>
    </row>
    <row r="71" spans="4:10" x14ac:dyDescent="0.2">
      <c r="D71" s="5" t="s">
        <v>18355</v>
      </c>
      <c r="E71" s="5" t="s">
        <v>15160</v>
      </c>
      <c r="F71" s="5" t="s">
        <v>7940</v>
      </c>
      <c r="G71" s="6" t="s">
        <v>1492</v>
      </c>
      <c r="H71" s="6" t="s">
        <v>11525</v>
      </c>
      <c r="I71" s="6" t="s">
        <v>6488</v>
      </c>
      <c r="J71" s="6" t="s">
        <v>6067</v>
      </c>
    </row>
    <row r="72" spans="4:10" x14ac:dyDescent="0.2">
      <c r="D72" s="5" t="s">
        <v>18355</v>
      </c>
      <c r="E72" s="5" t="s">
        <v>15160</v>
      </c>
      <c r="F72" s="5" t="s">
        <v>16185</v>
      </c>
      <c r="G72" s="6" t="s">
        <v>1492</v>
      </c>
      <c r="H72" s="6" t="s">
        <v>11525</v>
      </c>
      <c r="I72" s="6" t="s">
        <v>6488</v>
      </c>
      <c r="J72" s="6" t="s">
        <v>6488</v>
      </c>
    </row>
    <row r="73" spans="4:10" ht="22.5" x14ac:dyDescent="0.2">
      <c r="D73" s="5" t="s">
        <v>18355</v>
      </c>
      <c r="E73" s="5" t="s">
        <v>15160</v>
      </c>
      <c r="F73" s="5" t="s">
        <v>17637</v>
      </c>
      <c r="G73" s="6" t="s">
        <v>1492</v>
      </c>
      <c r="H73" s="6" t="s">
        <v>11525</v>
      </c>
      <c r="I73" s="6" t="s">
        <v>1268</v>
      </c>
      <c r="J73" s="6" t="s">
        <v>17132</v>
      </c>
    </row>
    <row r="74" spans="4:10" ht="22.5" x14ac:dyDescent="0.2">
      <c r="D74" s="5" t="s">
        <v>18355</v>
      </c>
      <c r="E74" s="5" t="s">
        <v>15160</v>
      </c>
      <c r="F74" s="5" t="s">
        <v>15624</v>
      </c>
      <c r="G74" s="6" t="s">
        <v>1492</v>
      </c>
      <c r="H74" s="6" t="s">
        <v>11525</v>
      </c>
      <c r="I74" s="6" t="s">
        <v>1268</v>
      </c>
      <c r="J74" s="6" t="s">
        <v>13249</v>
      </c>
    </row>
    <row r="75" spans="4:10" ht="22.5" x14ac:dyDescent="0.2">
      <c r="D75" s="5" t="s">
        <v>18355</v>
      </c>
      <c r="E75" s="5" t="s">
        <v>15160</v>
      </c>
      <c r="F75" s="5" t="s">
        <v>12497</v>
      </c>
      <c r="G75" s="6" t="s">
        <v>1492</v>
      </c>
      <c r="H75" s="6" t="s">
        <v>11525</v>
      </c>
      <c r="I75" s="6" t="s">
        <v>1268</v>
      </c>
      <c r="J75" s="6" t="s">
        <v>9785</v>
      </c>
    </row>
    <row r="76" spans="4:10" ht="22.5" x14ac:dyDescent="0.2">
      <c r="D76" s="5" t="s">
        <v>18355</v>
      </c>
      <c r="E76" s="5" t="s">
        <v>15160</v>
      </c>
      <c r="F76" s="5" t="s">
        <v>457</v>
      </c>
      <c r="G76" s="6" t="s">
        <v>1492</v>
      </c>
      <c r="H76" s="6" t="s">
        <v>11525</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5155</v>
      </c>
      <c r="F78" s="5" t="s">
        <v>9102</v>
      </c>
      <c r="G78" s="6" t="s">
        <v>1709</v>
      </c>
      <c r="H78" s="6" t="s">
        <v>17757</v>
      </c>
      <c r="I78" s="6" t="s">
        <v>13269</v>
      </c>
      <c r="J78" s="6" t="s">
        <v>13269</v>
      </c>
    </row>
    <row r="79" spans="4:10" ht="22.5" x14ac:dyDescent="0.2">
      <c r="D79" s="5" t="s">
        <v>18355</v>
      </c>
      <c r="E79" s="5" t="s">
        <v>5155</v>
      </c>
      <c r="F79" s="5" t="s">
        <v>15523</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11511</v>
      </c>
    </row>
    <row r="81" spans="4:10" ht="22.5" x14ac:dyDescent="0.2">
      <c r="D81" s="5" t="s">
        <v>18355</v>
      </c>
      <c r="E81" s="5" t="s">
        <v>2170</v>
      </c>
      <c r="F81" s="5" t="s">
        <v>9564</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6673</v>
      </c>
      <c r="F83" s="5" t="s">
        <v>51</v>
      </c>
      <c r="G83" s="6" t="s">
        <v>1709</v>
      </c>
      <c r="H83" s="6" t="s">
        <v>17757</v>
      </c>
      <c r="I83" s="6" t="s">
        <v>4881</v>
      </c>
      <c r="J83" s="6" t="s">
        <v>3916</v>
      </c>
    </row>
    <row r="84" spans="4:10" x14ac:dyDescent="0.2">
      <c r="D84" s="5" t="s">
        <v>18355</v>
      </c>
      <c r="E84" s="5" t="s">
        <v>6673</v>
      </c>
      <c r="F84" s="5" t="s">
        <v>2410</v>
      </c>
      <c r="G84" s="6" t="s">
        <v>1709</v>
      </c>
      <c r="H84" s="6" t="s">
        <v>17757</v>
      </c>
      <c r="I84" s="6" t="s">
        <v>4881</v>
      </c>
      <c r="J84" s="6" t="s">
        <v>1684</v>
      </c>
    </row>
    <row r="85" spans="4:10" x14ac:dyDescent="0.2">
      <c r="D85" s="5" t="s">
        <v>18355</v>
      </c>
      <c r="E85" s="5" t="s">
        <v>6673</v>
      </c>
      <c r="F85" s="5" t="s">
        <v>9652</v>
      </c>
      <c r="G85" s="6" t="s">
        <v>1709</v>
      </c>
      <c r="H85" s="6" t="s">
        <v>17757</v>
      </c>
      <c r="I85" s="6" t="s">
        <v>4881</v>
      </c>
      <c r="J85" s="6" t="s">
        <v>5557</v>
      </c>
    </row>
    <row r="86" spans="4:10" x14ac:dyDescent="0.2">
      <c r="D86" s="5" t="s">
        <v>18355</v>
      </c>
      <c r="E86" s="5" t="s">
        <v>6673</v>
      </c>
      <c r="F86" s="5" t="s">
        <v>12890</v>
      </c>
      <c r="G86" s="6" t="s">
        <v>1709</v>
      </c>
      <c r="H86" s="6" t="s">
        <v>17757</v>
      </c>
      <c r="I86" s="6" t="s">
        <v>4881</v>
      </c>
      <c r="J86" s="6" t="s">
        <v>4685</v>
      </c>
    </row>
    <row r="87" spans="4:10" x14ac:dyDescent="0.2">
      <c r="D87" s="5" t="s">
        <v>18355</v>
      </c>
      <c r="E87" s="5" t="s">
        <v>6673</v>
      </c>
      <c r="F87" s="5" t="s">
        <v>868</v>
      </c>
      <c r="G87" s="6" t="s">
        <v>1709</v>
      </c>
      <c r="H87" s="6" t="s">
        <v>17757</v>
      </c>
      <c r="I87" s="6" t="s">
        <v>4881</v>
      </c>
      <c r="J87" s="6" t="s">
        <v>10748</v>
      </c>
    </row>
    <row r="88" spans="4:10" x14ac:dyDescent="0.2">
      <c r="D88" s="5" t="s">
        <v>18355</v>
      </c>
      <c r="E88" s="5" t="s">
        <v>6673</v>
      </c>
      <c r="F88" s="5" t="s">
        <v>14654</v>
      </c>
      <c r="G88" s="6" t="s">
        <v>1709</v>
      </c>
      <c r="H88" s="6" t="s">
        <v>17757</v>
      </c>
      <c r="I88" s="6" t="s">
        <v>4881</v>
      </c>
      <c r="J88" s="6" t="s">
        <v>18323</v>
      </c>
    </row>
    <row r="89" spans="4:10" x14ac:dyDescent="0.2">
      <c r="D89" s="5" t="s">
        <v>18355</v>
      </c>
      <c r="E89" s="5" t="s">
        <v>6673</v>
      </c>
      <c r="F89" s="5" t="s">
        <v>12421</v>
      </c>
      <c r="G89" s="6" t="s">
        <v>1709</v>
      </c>
      <c r="H89" s="6" t="s">
        <v>17757</v>
      </c>
      <c r="I89" s="6" t="s">
        <v>4881</v>
      </c>
      <c r="J89" s="6" t="s">
        <v>4881</v>
      </c>
    </row>
    <row r="90" spans="4:10" x14ac:dyDescent="0.2">
      <c r="D90" s="5" t="s">
        <v>18355</v>
      </c>
      <c r="E90" s="5" t="s">
        <v>6673</v>
      </c>
      <c r="F90" s="5" t="s">
        <v>11179</v>
      </c>
      <c r="G90" s="6" t="s">
        <v>1709</v>
      </c>
      <c r="H90" s="6" t="s">
        <v>17757</v>
      </c>
      <c r="I90" s="6" t="s">
        <v>4881</v>
      </c>
      <c r="J90" s="6" t="s">
        <v>6599</v>
      </c>
    </row>
    <row r="91" spans="4:10" x14ac:dyDescent="0.2">
      <c r="D91" s="5" t="s">
        <v>18355</v>
      </c>
      <c r="E91" s="5" t="s">
        <v>6673</v>
      </c>
      <c r="F91" s="5" t="s">
        <v>8008</v>
      </c>
      <c r="G91" s="6" t="s">
        <v>1709</v>
      </c>
      <c r="H91" s="6" t="s">
        <v>17757</v>
      </c>
      <c r="I91" s="6" t="s">
        <v>4881</v>
      </c>
      <c r="J91" s="6" t="s">
        <v>10710</v>
      </c>
    </row>
    <row r="92" spans="4:10" x14ac:dyDescent="0.2">
      <c r="D92" s="5" t="s">
        <v>18355</v>
      </c>
      <c r="E92" s="5" t="s">
        <v>6673</v>
      </c>
      <c r="F92" s="5" t="s">
        <v>2227</v>
      </c>
      <c r="G92" s="6" t="s">
        <v>1709</v>
      </c>
      <c r="H92" s="6" t="s">
        <v>12630</v>
      </c>
      <c r="I92" s="6" t="s">
        <v>18403</v>
      </c>
      <c r="J92" s="6" t="s">
        <v>18403</v>
      </c>
    </row>
    <row r="93" spans="4:10" x14ac:dyDescent="0.2">
      <c r="D93" s="5" t="s">
        <v>5958</v>
      </c>
      <c r="E93" s="5" t="s">
        <v>2698</v>
      </c>
      <c r="F93" s="5" t="s">
        <v>11266</v>
      </c>
      <c r="G93" s="6" t="s">
        <v>1709</v>
      </c>
      <c r="H93" s="6" t="s">
        <v>12630</v>
      </c>
      <c r="I93" s="6" t="s">
        <v>18403</v>
      </c>
      <c r="J93" s="6" t="s">
        <v>17165</v>
      </c>
    </row>
    <row r="94" spans="4:10" x14ac:dyDescent="0.2">
      <c r="D94" s="5" t="s">
        <v>5958</v>
      </c>
      <c r="E94" s="5" t="s">
        <v>2698</v>
      </c>
      <c r="F94" s="5" t="s">
        <v>7099</v>
      </c>
      <c r="G94" s="6" t="s">
        <v>1709</v>
      </c>
      <c r="H94" s="6" t="s">
        <v>12630</v>
      </c>
      <c r="I94" s="6" t="s">
        <v>549</v>
      </c>
      <c r="J94" s="6" t="s">
        <v>549</v>
      </c>
    </row>
    <row r="95" spans="4:10" x14ac:dyDescent="0.2">
      <c r="D95" s="5" t="s">
        <v>5958</v>
      </c>
      <c r="E95" s="5" t="s">
        <v>2698</v>
      </c>
      <c r="F95" s="5" t="s">
        <v>15448</v>
      </c>
      <c r="G95" s="6" t="s">
        <v>1709</v>
      </c>
      <c r="H95" s="6" t="s">
        <v>12630</v>
      </c>
      <c r="I95" s="6" t="s">
        <v>18116</v>
      </c>
      <c r="J95" s="6" t="s">
        <v>18116</v>
      </c>
    </row>
    <row r="96" spans="4:10" x14ac:dyDescent="0.2">
      <c r="D96" s="5" t="s">
        <v>5958</v>
      </c>
      <c r="E96" s="5" t="s">
        <v>2698</v>
      </c>
      <c r="F96" s="5" t="s">
        <v>4288</v>
      </c>
      <c r="G96" s="6" t="s">
        <v>1709</v>
      </c>
      <c r="H96" s="6" t="s">
        <v>12630</v>
      </c>
      <c r="I96" s="6" t="s">
        <v>1018</v>
      </c>
      <c r="J96" s="6" t="s">
        <v>1018</v>
      </c>
    </row>
    <row r="97" spans="4:10" x14ac:dyDescent="0.2">
      <c r="D97" s="5" t="s">
        <v>5958</v>
      </c>
      <c r="E97" s="5" t="s">
        <v>2698</v>
      </c>
      <c r="F97" s="5" t="s">
        <v>12927</v>
      </c>
      <c r="G97" s="6" t="s">
        <v>1709</v>
      </c>
      <c r="H97" s="6" t="s">
        <v>12630</v>
      </c>
      <c r="I97" s="6" t="s">
        <v>1018</v>
      </c>
      <c r="J97" s="6" t="s">
        <v>12250</v>
      </c>
    </row>
    <row r="98" spans="4:10" x14ac:dyDescent="0.2">
      <c r="D98" s="5" t="s">
        <v>5958</v>
      </c>
      <c r="E98" s="5" t="s">
        <v>2698</v>
      </c>
      <c r="F98" s="5" t="s">
        <v>4564</v>
      </c>
      <c r="G98" s="6" t="s">
        <v>1709</v>
      </c>
      <c r="H98" s="6" t="s">
        <v>12630</v>
      </c>
      <c r="I98" s="6" t="s">
        <v>4048</v>
      </c>
      <c r="J98" s="6" t="s">
        <v>9412</v>
      </c>
    </row>
    <row r="99" spans="4:10" ht="22.5" x14ac:dyDescent="0.2">
      <c r="D99" s="5" t="s">
        <v>5958</v>
      </c>
      <c r="E99" s="5" t="s">
        <v>2698</v>
      </c>
      <c r="F99" s="5" t="s">
        <v>1400</v>
      </c>
      <c r="G99" s="6" t="s">
        <v>1709</v>
      </c>
      <c r="H99" s="6" t="s">
        <v>12630</v>
      </c>
      <c r="I99" s="6" t="s">
        <v>4048</v>
      </c>
      <c r="J99" s="6" t="s">
        <v>9984</v>
      </c>
    </row>
    <row r="100" spans="4:10" x14ac:dyDescent="0.2">
      <c r="D100" s="5" t="s">
        <v>5958</v>
      </c>
      <c r="E100" s="5" t="s">
        <v>2698</v>
      </c>
      <c r="F100" s="5" t="s">
        <v>10379</v>
      </c>
      <c r="G100" s="6" t="s">
        <v>1709</v>
      </c>
      <c r="H100" s="6" t="s">
        <v>12630</v>
      </c>
      <c r="I100" s="6" t="s">
        <v>4048</v>
      </c>
      <c r="J100" s="6" t="s">
        <v>12501</v>
      </c>
    </row>
    <row r="101" spans="4:10" x14ac:dyDescent="0.2">
      <c r="D101" s="5" t="s">
        <v>5958</v>
      </c>
      <c r="E101" s="5" t="s">
        <v>2698</v>
      </c>
      <c r="F101" s="5" t="s">
        <v>10073</v>
      </c>
      <c r="G101" s="6" t="s">
        <v>1709</v>
      </c>
      <c r="H101" s="6" t="s">
        <v>12630</v>
      </c>
      <c r="I101" s="6" t="s">
        <v>4048</v>
      </c>
      <c r="J101" s="6" t="s">
        <v>4048</v>
      </c>
    </row>
    <row r="102" spans="4:10" ht="22.5" x14ac:dyDescent="0.2">
      <c r="D102" s="5" t="s">
        <v>5958</v>
      </c>
      <c r="E102" s="5" t="s">
        <v>2698</v>
      </c>
      <c r="F102" s="5" t="s">
        <v>11008</v>
      </c>
      <c r="G102" s="6" t="s">
        <v>1709</v>
      </c>
      <c r="H102" s="6" t="s">
        <v>12630</v>
      </c>
      <c r="I102" s="6" t="s">
        <v>17503</v>
      </c>
      <c r="J102" s="6" t="s">
        <v>5829</v>
      </c>
    </row>
    <row r="103" spans="4:10" ht="22.5" x14ac:dyDescent="0.2">
      <c r="D103" s="5" t="s">
        <v>5958</v>
      </c>
      <c r="E103" s="5" t="s">
        <v>2698</v>
      </c>
      <c r="F103" s="5" t="s">
        <v>5542</v>
      </c>
      <c r="G103" s="6" t="s">
        <v>1709</v>
      </c>
      <c r="H103" s="6" t="s">
        <v>12630</v>
      </c>
      <c r="I103" s="6" t="s">
        <v>17503</v>
      </c>
      <c r="J103" s="6" t="s">
        <v>17503</v>
      </c>
    </row>
    <row r="104" spans="4:10" ht="22.5" x14ac:dyDescent="0.2">
      <c r="D104" s="5" t="s">
        <v>5958</v>
      </c>
      <c r="E104" s="5" t="s">
        <v>5614</v>
      </c>
      <c r="F104" s="5" t="s">
        <v>12131</v>
      </c>
      <c r="G104" s="6" t="s">
        <v>1709</v>
      </c>
      <c r="H104" s="6" t="s">
        <v>12630</v>
      </c>
      <c r="I104" s="6" t="s">
        <v>17503</v>
      </c>
      <c r="J104" s="6" t="s">
        <v>16577</v>
      </c>
    </row>
    <row r="105" spans="4:10" x14ac:dyDescent="0.2">
      <c r="D105" s="5" t="s">
        <v>5958</v>
      </c>
      <c r="E105" s="5" t="s">
        <v>5614</v>
      </c>
      <c r="F105" s="5" t="s">
        <v>14255</v>
      </c>
      <c r="G105" s="6" t="s">
        <v>1709</v>
      </c>
      <c r="H105" s="6" t="s">
        <v>12630</v>
      </c>
      <c r="I105" s="6" t="s">
        <v>2292</v>
      </c>
      <c r="J105" s="6" t="s">
        <v>4423</v>
      </c>
    </row>
    <row r="106" spans="4:10" x14ac:dyDescent="0.2">
      <c r="D106" s="5" t="s">
        <v>5958</v>
      </c>
      <c r="E106" s="5" t="s">
        <v>5614</v>
      </c>
      <c r="F106" s="5" t="s">
        <v>7319</v>
      </c>
      <c r="G106" s="6" t="s">
        <v>1709</v>
      </c>
      <c r="H106" s="6" t="s">
        <v>12630</v>
      </c>
      <c r="I106" s="6" t="s">
        <v>2292</v>
      </c>
      <c r="J106" s="6" t="s">
        <v>5326</v>
      </c>
    </row>
    <row r="107" spans="4:10" x14ac:dyDescent="0.2">
      <c r="D107" s="5" t="s">
        <v>5958</v>
      </c>
      <c r="E107" s="5" t="s">
        <v>5614</v>
      </c>
      <c r="F107" s="5" t="s">
        <v>5656</v>
      </c>
      <c r="G107" s="6" t="s">
        <v>1709</v>
      </c>
      <c r="H107" s="6" t="s">
        <v>12630</v>
      </c>
      <c r="I107" s="6" t="s">
        <v>2292</v>
      </c>
      <c r="J107" s="6" t="s">
        <v>2292</v>
      </c>
    </row>
    <row r="108" spans="4:10" x14ac:dyDescent="0.2">
      <c r="D108" s="5" t="s">
        <v>5958</v>
      </c>
      <c r="E108" s="5" t="s">
        <v>5614</v>
      </c>
      <c r="F108" s="5" t="s">
        <v>13096</v>
      </c>
      <c r="G108" s="6" t="s">
        <v>1709</v>
      </c>
      <c r="H108" s="6" t="s">
        <v>12630</v>
      </c>
      <c r="I108" s="6" t="s">
        <v>7245</v>
      </c>
      <c r="J108" s="6" t="s">
        <v>11374</v>
      </c>
    </row>
    <row r="109" spans="4:10" x14ac:dyDescent="0.2">
      <c r="D109" s="5" t="s">
        <v>5958</v>
      </c>
      <c r="E109" s="5" t="s">
        <v>18822</v>
      </c>
      <c r="F109" s="5" t="s">
        <v>18822</v>
      </c>
      <c r="G109" s="6" t="s">
        <v>1709</v>
      </c>
      <c r="H109" s="6" t="s">
        <v>12630</v>
      </c>
      <c r="I109" s="6" t="s">
        <v>7245</v>
      </c>
      <c r="J109" s="6" t="s">
        <v>6866</v>
      </c>
    </row>
    <row r="110" spans="4:10" x14ac:dyDescent="0.2">
      <c r="D110" s="5" t="s">
        <v>5958</v>
      </c>
      <c r="E110" s="5" t="s">
        <v>18822</v>
      </c>
      <c r="F110" s="5" t="s">
        <v>10494</v>
      </c>
      <c r="G110" s="6" t="s">
        <v>1709</v>
      </c>
      <c r="H110" s="6" t="s">
        <v>12630</v>
      </c>
      <c r="I110" s="6" t="s">
        <v>7245</v>
      </c>
      <c r="J110" s="6" t="s">
        <v>9771</v>
      </c>
    </row>
    <row r="111" spans="4:10" x14ac:dyDescent="0.2">
      <c r="D111" s="5" t="s">
        <v>5958</v>
      </c>
      <c r="E111" s="5" t="s">
        <v>12704</v>
      </c>
      <c r="F111" s="5" t="s">
        <v>5605</v>
      </c>
      <c r="G111" s="6" t="s">
        <v>1709</v>
      </c>
      <c r="H111" s="6" t="s">
        <v>12630</v>
      </c>
      <c r="I111" s="6" t="s">
        <v>7245</v>
      </c>
      <c r="J111" s="6" t="s">
        <v>7245</v>
      </c>
    </row>
    <row r="112" spans="4:10" x14ac:dyDescent="0.2">
      <c r="D112" s="5" t="s">
        <v>5958</v>
      </c>
      <c r="E112" s="5" t="s">
        <v>12704</v>
      </c>
      <c r="F112" s="5" t="s">
        <v>11023</v>
      </c>
      <c r="G112" s="6" t="s">
        <v>1709</v>
      </c>
      <c r="H112" s="6" t="s">
        <v>12630</v>
      </c>
      <c r="I112" s="6" t="s">
        <v>1623</v>
      </c>
      <c r="J112" s="6" t="s">
        <v>1623</v>
      </c>
    </row>
    <row r="113" spans="4:10" x14ac:dyDescent="0.2">
      <c r="D113" s="5" t="s">
        <v>5958</v>
      </c>
      <c r="E113" s="5" t="s">
        <v>12704</v>
      </c>
      <c r="F113" s="5" t="s">
        <v>10763</v>
      </c>
      <c r="G113" s="6" t="s">
        <v>1709</v>
      </c>
      <c r="H113" s="6" t="s">
        <v>8807</v>
      </c>
      <c r="I113" s="6" t="s">
        <v>1675</v>
      </c>
      <c r="J113" s="6" t="s">
        <v>194</v>
      </c>
    </row>
    <row r="114" spans="4:10" x14ac:dyDescent="0.2">
      <c r="D114" s="5" t="s">
        <v>5958</v>
      </c>
      <c r="E114" s="5" t="s">
        <v>12704</v>
      </c>
      <c r="F114" s="5" t="s">
        <v>14793</v>
      </c>
      <c r="G114" s="6" t="s">
        <v>1709</v>
      </c>
      <c r="H114" s="6" t="s">
        <v>8807</v>
      </c>
      <c r="I114" s="6" t="s">
        <v>1675</v>
      </c>
      <c r="J114" s="6" t="s">
        <v>1675</v>
      </c>
    </row>
    <row r="115" spans="4:10" x14ac:dyDescent="0.2">
      <c r="D115" s="5" t="s">
        <v>5958</v>
      </c>
      <c r="E115" s="5" t="s">
        <v>12704</v>
      </c>
      <c r="F115" s="5" t="s">
        <v>11955</v>
      </c>
      <c r="G115" s="6" t="s">
        <v>1709</v>
      </c>
      <c r="H115" s="6" t="s">
        <v>8807</v>
      </c>
      <c r="I115" s="6" t="s">
        <v>1675</v>
      </c>
      <c r="J115" s="6" t="s">
        <v>18276</v>
      </c>
    </row>
    <row r="116" spans="4:10" x14ac:dyDescent="0.2">
      <c r="D116" s="5" t="s">
        <v>5958</v>
      </c>
      <c r="E116" s="5" t="s">
        <v>12704</v>
      </c>
      <c r="F116" s="5" t="s">
        <v>8766</v>
      </c>
      <c r="G116" s="6" t="s">
        <v>1709</v>
      </c>
      <c r="H116" s="6" t="s">
        <v>8807</v>
      </c>
      <c r="I116" s="6" t="s">
        <v>9128</v>
      </c>
      <c r="J116" s="6" t="s">
        <v>8002</v>
      </c>
    </row>
    <row r="117" spans="4:10" x14ac:dyDescent="0.2">
      <c r="D117" s="5" t="s">
        <v>12506</v>
      </c>
      <c r="E117" s="5" t="s">
        <v>3429</v>
      </c>
      <c r="F117" s="5" t="s">
        <v>15181</v>
      </c>
      <c r="G117" s="6" t="s">
        <v>1709</v>
      </c>
      <c r="H117" s="6" t="s">
        <v>8807</v>
      </c>
      <c r="I117" s="6" t="s">
        <v>9128</v>
      </c>
      <c r="J117" s="6" t="s">
        <v>9128</v>
      </c>
    </row>
    <row r="118" spans="4:10" x14ac:dyDescent="0.2">
      <c r="D118" s="5" t="s">
        <v>12506</v>
      </c>
      <c r="E118" s="5" t="s">
        <v>3429</v>
      </c>
      <c r="F118" s="5" t="s">
        <v>14586</v>
      </c>
      <c r="G118" s="6" t="s">
        <v>1709</v>
      </c>
      <c r="H118" s="6" t="s">
        <v>8807</v>
      </c>
      <c r="I118" s="6" t="s">
        <v>15234</v>
      </c>
      <c r="J118" s="6" t="s">
        <v>12812</v>
      </c>
    </row>
    <row r="119" spans="4:10" x14ac:dyDescent="0.2">
      <c r="D119" s="5" t="s">
        <v>12506</v>
      </c>
      <c r="E119" s="5" t="s">
        <v>3429</v>
      </c>
      <c r="F119" s="5" t="s">
        <v>14149</v>
      </c>
      <c r="G119" s="6" t="s">
        <v>1709</v>
      </c>
      <c r="H119" s="6" t="s">
        <v>8807</v>
      </c>
      <c r="I119" s="6" t="s">
        <v>15234</v>
      </c>
      <c r="J119" s="6" t="s">
        <v>2410</v>
      </c>
    </row>
    <row r="120" spans="4:10" x14ac:dyDescent="0.2">
      <c r="D120" s="5" t="s">
        <v>12506</v>
      </c>
      <c r="E120" s="5" t="s">
        <v>3429</v>
      </c>
      <c r="F120" s="5" t="s">
        <v>10319</v>
      </c>
      <c r="G120" s="6" t="s">
        <v>1709</v>
      </c>
      <c r="H120" s="6" t="s">
        <v>8807</v>
      </c>
      <c r="I120" s="6" t="s">
        <v>15234</v>
      </c>
      <c r="J120" s="6" t="s">
        <v>15234</v>
      </c>
    </row>
    <row r="121" spans="4:10" x14ac:dyDescent="0.2">
      <c r="D121" s="5" t="s">
        <v>12506</v>
      </c>
      <c r="E121" s="5" t="s">
        <v>3429</v>
      </c>
      <c r="F121" s="5" t="s">
        <v>18263</v>
      </c>
      <c r="G121" s="6" t="s">
        <v>1709</v>
      </c>
      <c r="H121" s="6" t="s">
        <v>8807</v>
      </c>
      <c r="I121" s="6" t="s">
        <v>4315</v>
      </c>
      <c r="J121" s="6" t="s">
        <v>4315</v>
      </c>
    </row>
    <row r="122" spans="4:10" ht="22.5" x14ac:dyDescent="0.2">
      <c r="D122" s="5" t="s">
        <v>12506</v>
      </c>
      <c r="E122" s="5" t="s">
        <v>3429</v>
      </c>
      <c r="F122" s="5" t="s">
        <v>13826</v>
      </c>
      <c r="G122" s="6" t="s">
        <v>1709</v>
      </c>
      <c r="H122" s="6" t="s">
        <v>8807</v>
      </c>
      <c r="I122" s="6" t="s">
        <v>13555</v>
      </c>
      <c r="J122" s="6" t="s">
        <v>12604</v>
      </c>
    </row>
    <row r="123" spans="4:10" ht="22.5" x14ac:dyDescent="0.2">
      <c r="D123" s="5" t="s">
        <v>12506</v>
      </c>
      <c r="E123" s="5" t="s">
        <v>2459</v>
      </c>
      <c r="F123" s="5" t="s">
        <v>8751</v>
      </c>
      <c r="G123" s="6" t="s">
        <v>1709</v>
      </c>
      <c r="H123" s="6" t="s">
        <v>8807</v>
      </c>
      <c r="I123" s="6" t="s">
        <v>13555</v>
      </c>
      <c r="J123" s="6" t="s">
        <v>13678</v>
      </c>
    </row>
    <row r="124" spans="4:10" ht="22.5" x14ac:dyDescent="0.2">
      <c r="D124" s="5" t="s">
        <v>12506</v>
      </c>
      <c r="E124" s="5" t="s">
        <v>2459</v>
      </c>
      <c r="F124" s="5" t="s">
        <v>14610</v>
      </c>
      <c r="G124" s="6" t="s">
        <v>1709</v>
      </c>
      <c r="H124" s="6" t="s">
        <v>8807</v>
      </c>
      <c r="I124" s="6" t="s">
        <v>13555</v>
      </c>
      <c r="J124" s="6" t="s">
        <v>18591</v>
      </c>
    </row>
    <row r="125" spans="4:10" ht="22.5" x14ac:dyDescent="0.2">
      <c r="D125" s="5" t="s">
        <v>12506</v>
      </c>
      <c r="E125" s="5" t="s">
        <v>2459</v>
      </c>
      <c r="F125" s="5" t="s">
        <v>3654</v>
      </c>
      <c r="G125" s="6" t="s">
        <v>1709</v>
      </c>
      <c r="H125" s="6" t="s">
        <v>8807</v>
      </c>
      <c r="I125" s="6" t="s">
        <v>13555</v>
      </c>
      <c r="J125" s="6" t="s">
        <v>13555</v>
      </c>
    </row>
    <row r="126" spans="4:10" ht="22.5" x14ac:dyDescent="0.2">
      <c r="D126" s="5" t="s">
        <v>12506</v>
      </c>
      <c r="E126" s="5" t="s">
        <v>2459</v>
      </c>
      <c r="F126" s="5" t="s">
        <v>5786</v>
      </c>
      <c r="G126" s="6" t="s">
        <v>1709</v>
      </c>
      <c r="H126" s="6" t="s">
        <v>8807</v>
      </c>
      <c r="I126" s="6" t="s">
        <v>3718</v>
      </c>
      <c r="J126" s="6" t="s">
        <v>9342</v>
      </c>
    </row>
    <row r="127" spans="4:10" ht="22.5" x14ac:dyDescent="0.2">
      <c r="D127" s="5" t="s">
        <v>12506</v>
      </c>
      <c r="E127" s="5" t="s">
        <v>2459</v>
      </c>
      <c r="F127" s="5" t="s">
        <v>10696</v>
      </c>
      <c r="G127" s="6" t="s">
        <v>1709</v>
      </c>
      <c r="H127" s="6" t="s">
        <v>8807</v>
      </c>
      <c r="I127" s="6" t="s">
        <v>3718</v>
      </c>
      <c r="J127" s="6" t="s">
        <v>13027</v>
      </c>
    </row>
    <row r="128" spans="4:10" ht="22.5" x14ac:dyDescent="0.2">
      <c r="D128" s="5" t="s">
        <v>12506</v>
      </c>
      <c r="E128" s="5" t="s">
        <v>2459</v>
      </c>
      <c r="F128" s="5" t="s">
        <v>15718</v>
      </c>
      <c r="G128" s="6" t="s">
        <v>1709</v>
      </c>
      <c r="H128" s="6" t="s">
        <v>8807</v>
      </c>
      <c r="I128" s="6" t="s">
        <v>3718</v>
      </c>
      <c r="J128" s="6" t="s">
        <v>11049</v>
      </c>
    </row>
    <row r="129" spans="4:10" ht="22.5" x14ac:dyDescent="0.2">
      <c r="D129" s="5" t="s">
        <v>17539</v>
      </c>
      <c r="E129" s="5" t="s">
        <v>7757</v>
      </c>
      <c r="F129" s="5" t="s">
        <v>7757</v>
      </c>
      <c r="G129" s="6" t="s">
        <v>1709</v>
      </c>
      <c r="H129" s="6" t="s">
        <v>8807</v>
      </c>
      <c r="I129" s="6" t="s">
        <v>3718</v>
      </c>
      <c r="J129" s="6" t="s">
        <v>6834</v>
      </c>
    </row>
    <row r="130" spans="4:10" ht="22.5" x14ac:dyDescent="0.2">
      <c r="D130" s="5" t="s">
        <v>17539</v>
      </c>
      <c r="E130" s="5" t="s">
        <v>7757</v>
      </c>
      <c r="F130" s="5" t="s">
        <v>3618</v>
      </c>
      <c r="G130" s="6" t="s">
        <v>1709</v>
      </c>
      <c r="H130" s="6" t="s">
        <v>8807</v>
      </c>
      <c r="I130" s="6" t="s">
        <v>3718</v>
      </c>
      <c r="J130" s="6" t="s">
        <v>18243</v>
      </c>
    </row>
    <row r="131" spans="4:10" ht="22.5" x14ac:dyDescent="0.2">
      <c r="D131" s="5" t="s">
        <v>17539</v>
      </c>
      <c r="E131" s="5" t="s">
        <v>7757</v>
      </c>
      <c r="F131" s="5" t="s">
        <v>2679</v>
      </c>
      <c r="G131" s="6" t="s">
        <v>1709</v>
      </c>
      <c r="H131" s="6" t="s">
        <v>8807</v>
      </c>
      <c r="I131" s="6" t="s">
        <v>3718</v>
      </c>
      <c r="J131" s="6" t="s">
        <v>3718</v>
      </c>
    </row>
    <row r="132" spans="4:10" x14ac:dyDescent="0.2">
      <c r="D132" s="5" t="s">
        <v>17539</v>
      </c>
      <c r="E132" s="5" t="s">
        <v>628</v>
      </c>
      <c r="F132" s="5" t="s">
        <v>12141</v>
      </c>
      <c r="G132" s="6" t="s">
        <v>1709</v>
      </c>
      <c r="H132" s="6" t="s">
        <v>8807</v>
      </c>
      <c r="I132" s="6" t="s">
        <v>14110</v>
      </c>
      <c r="J132" s="6" t="s">
        <v>14609</v>
      </c>
    </row>
    <row r="133" spans="4:10" x14ac:dyDescent="0.2">
      <c r="D133" s="5" t="s">
        <v>17539</v>
      </c>
      <c r="E133" s="5" t="s">
        <v>628</v>
      </c>
      <c r="F133" s="5" t="s">
        <v>3958</v>
      </c>
      <c r="G133" s="6" t="s">
        <v>1709</v>
      </c>
      <c r="H133" s="6" t="s">
        <v>8807</v>
      </c>
      <c r="I133" s="6" t="s">
        <v>14110</v>
      </c>
      <c r="J133" s="6" t="s">
        <v>14110</v>
      </c>
    </row>
    <row r="134" spans="4:10" ht="22.5" x14ac:dyDescent="0.2">
      <c r="D134" s="5" t="s">
        <v>17539</v>
      </c>
      <c r="E134" s="5" t="s">
        <v>10723</v>
      </c>
      <c r="F134" s="5" t="s">
        <v>18073</v>
      </c>
      <c r="G134" s="6" t="s">
        <v>1709</v>
      </c>
      <c r="H134" s="6" t="s">
        <v>8807</v>
      </c>
      <c r="I134" s="6" t="s">
        <v>2914</v>
      </c>
      <c r="J134" s="6" t="s">
        <v>2914</v>
      </c>
    </row>
    <row r="135" spans="4:10" x14ac:dyDescent="0.2">
      <c r="D135" s="5" t="s">
        <v>17539</v>
      </c>
      <c r="E135" s="5" t="s">
        <v>10723</v>
      </c>
      <c r="F135" s="5" t="s">
        <v>17680</v>
      </c>
      <c r="G135" s="6" t="s">
        <v>1709</v>
      </c>
      <c r="H135" s="6" t="s">
        <v>8807</v>
      </c>
      <c r="I135" s="6" t="s">
        <v>9057</v>
      </c>
      <c r="J135" s="6" t="s">
        <v>7713</v>
      </c>
    </row>
    <row r="136" spans="4:10" x14ac:dyDescent="0.2">
      <c r="D136" s="5" t="s">
        <v>16542</v>
      </c>
      <c r="E136" s="5" t="s">
        <v>9643</v>
      </c>
      <c r="F136" s="5" t="s">
        <v>9643</v>
      </c>
      <c r="G136" s="6" t="s">
        <v>1709</v>
      </c>
      <c r="H136" s="6" t="s">
        <v>8807</v>
      </c>
      <c r="I136" s="6" t="s">
        <v>9057</v>
      </c>
      <c r="J136" s="6" t="s">
        <v>11930</v>
      </c>
    </row>
    <row r="137" spans="4:10" x14ac:dyDescent="0.2">
      <c r="D137" s="5" t="s">
        <v>16542</v>
      </c>
      <c r="E137" s="5" t="s">
        <v>9643</v>
      </c>
      <c r="F137" s="5" t="s">
        <v>16997</v>
      </c>
      <c r="G137" s="6" t="s">
        <v>1709</v>
      </c>
      <c r="H137" s="6" t="s">
        <v>8807</v>
      </c>
      <c r="I137" s="6" t="s">
        <v>9057</v>
      </c>
      <c r="J137" s="6" t="s">
        <v>9057</v>
      </c>
    </row>
    <row r="138" spans="4:10" ht="22.5" x14ac:dyDescent="0.2">
      <c r="D138" s="5" t="s">
        <v>16542</v>
      </c>
      <c r="E138" s="5" t="s">
        <v>9643</v>
      </c>
      <c r="F138" s="5" t="s">
        <v>13246</v>
      </c>
      <c r="G138" s="6" t="s">
        <v>8093</v>
      </c>
      <c r="H138" s="6" t="s">
        <v>18173</v>
      </c>
      <c r="I138" s="6" t="s">
        <v>18783</v>
      </c>
      <c r="J138" s="6" t="s">
        <v>18783</v>
      </c>
    </row>
    <row r="139" spans="4:10" ht="22.5" x14ac:dyDescent="0.2">
      <c r="D139" s="5" t="s">
        <v>16542</v>
      </c>
      <c r="E139" s="5" t="s">
        <v>9643</v>
      </c>
      <c r="F139" s="5" t="s">
        <v>8846</v>
      </c>
      <c r="G139" s="6" t="s">
        <v>8093</v>
      </c>
      <c r="H139" s="6" t="s">
        <v>18173</v>
      </c>
      <c r="I139" s="6" t="s">
        <v>18783</v>
      </c>
      <c r="J139" s="6" t="s">
        <v>479</v>
      </c>
    </row>
    <row r="140" spans="4:10" ht="22.5" x14ac:dyDescent="0.2">
      <c r="D140" s="5" t="s">
        <v>16542</v>
      </c>
      <c r="E140" s="5" t="s">
        <v>9643</v>
      </c>
      <c r="F140" s="5" t="s">
        <v>11292</v>
      </c>
      <c r="G140" s="6" t="s">
        <v>8093</v>
      </c>
      <c r="H140" s="6" t="s">
        <v>18173</v>
      </c>
      <c r="I140" s="6" t="s">
        <v>18783</v>
      </c>
      <c r="J140" s="6" t="s">
        <v>12661</v>
      </c>
    </row>
    <row r="141" spans="4:10" ht="22.5" x14ac:dyDescent="0.2">
      <c r="D141" s="5" t="s">
        <v>16542</v>
      </c>
      <c r="E141" s="5" t="s">
        <v>9643</v>
      </c>
      <c r="F141" s="5" t="s">
        <v>17993</v>
      </c>
      <c r="G141" s="6" t="s">
        <v>8093</v>
      </c>
      <c r="H141" s="6" t="s">
        <v>18173</v>
      </c>
      <c r="I141" s="6" t="s">
        <v>5974</v>
      </c>
      <c r="J141" s="6" t="s">
        <v>17484</v>
      </c>
    </row>
    <row r="142" spans="4:10" ht="22.5" x14ac:dyDescent="0.2">
      <c r="D142" s="5" t="s">
        <v>16542</v>
      </c>
      <c r="E142" s="5" t="s">
        <v>16564</v>
      </c>
      <c r="F142" s="5" t="s">
        <v>3652</v>
      </c>
      <c r="G142" s="6" t="s">
        <v>8093</v>
      </c>
      <c r="H142" s="6" t="s">
        <v>18173</v>
      </c>
      <c r="I142" s="6" t="s">
        <v>5974</v>
      </c>
      <c r="J142" s="6" t="s">
        <v>5974</v>
      </c>
    </row>
    <row r="143" spans="4:10" ht="22.5" x14ac:dyDescent="0.2">
      <c r="D143" s="5" t="s">
        <v>16542</v>
      </c>
      <c r="E143" s="5" t="s">
        <v>16564</v>
      </c>
      <c r="F143" s="5" t="s">
        <v>18035</v>
      </c>
      <c r="G143" s="6" t="s">
        <v>8093</v>
      </c>
      <c r="H143" s="6" t="s">
        <v>18173</v>
      </c>
      <c r="I143" s="6" t="s">
        <v>5974</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14382</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17689</v>
      </c>
      <c r="G149" s="6" t="s">
        <v>8093</v>
      </c>
      <c r="H149" s="6" t="s">
        <v>2599</v>
      </c>
      <c r="I149" s="6" t="s">
        <v>12129</v>
      </c>
      <c r="J149" s="6" t="s">
        <v>12408</v>
      </c>
    </row>
    <row r="150" spans="4:10" x14ac:dyDescent="0.2">
      <c r="D150" s="5" t="s">
        <v>3080</v>
      </c>
      <c r="E150" s="5" t="s">
        <v>11111</v>
      </c>
      <c r="F150" s="5" t="s">
        <v>11111</v>
      </c>
      <c r="G150" s="6" t="s">
        <v>8093</v>
      </c>
      <c r="H150" s="6" t="s">
        <v>2599</v>
      </c>
      <c r="I150" s="6" t="s">
        <v>12129</v>
      </c>
      <c r="J150" s="6" t="s">
        <v>12129</v>
      </c>
    </row>
    <row r="151" spans="4:10" x14ac:dyDescent="0.2">
      <c r="D151" s="5" t="s">
        <v>3080</v>
      </c>
      <c r="E151" s="5" t="s">
        <v>14448</v>
      </c>
      <c r="F151" s="5" t="s">
        <v>4622</v>
      </c>
      <c r="G151" s="6" t="s">
        <v>8093</v>
      </c>
      <c r="H151" s="6" t="s">
        <v>2599</v>
      </c>
      <c r="I151" s="6" t="s">
        <v>12129</v>
      </c>
      <c r="J151" s="6" t="s">
        <v>8985</v>
      </c>
    </row>
    <row r="152" spans="4:10" x14ac:dyDescent="0.2">
      <c r="D152" s="5" t="s">
        <v>3080</v>
      </c>
      <c r="E152" s="5" t="s">
        <v>14448</v>
      </c>
      <c r="F152" s="5" t="s">
        <v>4637</v>
      </c>
      <c r="G152" s="6" t="s">
        <v>8093</v>
      </c>
      <c r="H152" s="6" t="s">
        <v>2599</v>
      </c>
      <c r="I152" s="6" t="s">
        <v>12129</v>
      </c>
      <c r="J152" s="6" t="s">
        <v>9850</v>
      </c>
    </row>
    <row r="153" spans="4:10" x14ac:dyDescent="0.2">
      <c r="D153" s="5" t="s">
        <v>3080</v>
      </c>
      <c r="E153" s="5" t="s">
        <v>14448</v>
      </c>
      <c r="F153" s="5" t="s">
        <v>5999</v>
      </c>
      <c r="G153" s="6" t="s">
        <v>8093</v>
      </c>
      <c r="H153" s="6" t="s">
        <v>2599</v>
      </c>
      <c r="I153" s="6" t="s">
        <v>12129</v>
      </c>
      <c r="J153" s="6" t="s">
        <v>6564</v>
      </c>
    </row>
    <row r="154" spans="4:10" x14ac:dyDescent="0.2">
      <c r="D154" s="5" t="s">
        <v>3080</v>
      </c>
      <c r="E154" s="5" t="s">
        <v>14448</v>
      </c>
      <c r="F154" s="5" t="s">
        <v>5995</v>
      </c>
      <c r="G154" s="6" t="s">
        <v>8093</v>
      </c>
      <c r="H154" s="6" t="s">
        <v>2599</v>
      </c>
      <c r="I154" s="6" t="s">
        <v>12129</v>
      </c>
      <c r="J154" s="6" t="s">
        <v>12386</v>
      </c>
    </row>
    <row r="155" spans="4:10" x14ac:dyDescent="0.2">
      <c r="D155" s="5" t="s">
        <v>3080</v>
      </c>
      <c r="E155" s="5" t="s">
        <v>14448</v>
      </c>
      <c r="F155" s="5" t="s">
        <v>4764</v>
      </c>
      <c r="G155" s="6" t="s">
        <v>8093</v>
      </c>
      <c r="H155" s="6" t="s">
        <v>2599</v>
      </c>
      <c r="I155" s="6" t="s">
        <v>5829</v>
      </c>
      <c r="J155" s="6" t="s">
        <v>5829</v>
      </c>
    </row>
    <row r="156" spans="4:10" x14ac:dyDescent="0.2">
      <c r="D156" s="5" t="s">
        <v>3080</v>
      </c>
      <c r="E156" s="5" t="s">
        <v>14448</v>
      </c>
      <c r="F156" s="5" t="s">
        <v>14364</v>
      </c>
      <c r="G156" s="6" t="s">
        <v>8093</v>
      </c>
      <c r="H156" s="6" t="s">
        <v>2599</v>
      </c>
      <c r="I156" s="6" t="s">
        <v>10374</v>
      </c>
      <c r="J156" s="6" t="s">
        <v>5356</v>
      </c>
    </row>
    <row r="157" spans="4:10" x14ac:dyDescent="0.2">
      <c r="D157" s="5" t="s">
        <v>3080</v>
      </c>
      <c r="E157" s="5" t="s">
        <v>14448</v>
      </c>
      <c r="F157" s="5" t="s">
        <v>11466</v>
      </c>
      <c r="G157" s="6" t="s">
        <v>8093</v>
      </c>
      <c r="H157" s="6" t="s">
        <v>2599</v>
      </c>
      <c r="I157" s="6" t="s">
        <v>10374</v>
      </c>
      <c r="J157" s="6" t="s">
        <v>10374</v>
      </c>
    </row>
    <row r="158" spans="4:10" x14ac:dyDescent="0.2">
      <c r="G158" s="6" t="s">
        <v>8093</v>
      </c>
      <c r="H158" s="6" t="s">
        <v>2599</v>
      </c>
      <c r="I158" s="6" t="s">
        <v>10374</v>
      </c>
      <c r="J158" s="6" t="s">
        <v>14614</v>
      </c>
    </row>
    <row r="159" spans="4:10" ht="22.5" x14ac:dyDescent="0.2">
      <c r="G159" s="6" t="s">
        <v>8093</v>
      </c>
      <c r="H159" s="6" t="s">
        <v>5889</v>
      </c>
      <c r="I159" s="6" t="s">
        <v>39</v>
      </c>
      <c r="J159" s="6" t="s">
        <v>39</v>
      </c>
    </row>
    <row r="160" spans="4:10" ht="22.5" x14ac:dyDescent="0.2">
      <c r="G160" s="6" t="s">
        <v>8093</v>
      </c>
      <c r="H160" s="6" t="s">
        <v>5889</v>
      </c>
      <c r="I160" s="6" t="s">
        <v>39</v>
      </c>
      <c r="J160" s="6" t="s">
        <v>17306</v>
      </c>
    </row>
    <row r="161" spans="7:10" ht="22.5" x14ac:dyDescent="0.2">
      <c r="G161" s="6" t="s">
        <v>8093</v>
      </c>
      <c r="H161" s="6" t="s">
        <v>5889</v>
      </c>
      <c r="I161" s="6" t="s">
        <v>1828</v>
      </c>
      <c r="J161" s="6" t="s">
        <v>2211</v>
      </c>
    </row>
    <row r="162" spans="7:10" ht="22.5" x14ac:dyDescent="0.2">
      <c r="G162" s="6" t="s">
        <v>8093</v>
      </c>
      <c r="H162" s="6" t="s">
        <v>5889</v>
      </c>
      <c r="I162" s="6" t="s">
        <v>1828</v>
      </c>
      <c r="J162" s="6" t="s">
        <v>1151</v>
      </c>
    </row>
    <row r="163" spans="7:10" ht="22.5" x14ac:dyDescent="0.2">
      <c r="G163" s="6" t="s">
        <v>8093</v>
      </c>
      <c r="H163" s="6" t="s">
        <v>5889</v>
      </c>
      <c r="I163" s="6" t="s">
        <v>1828</v>
      </c>
      <c r="J163" s="6" t="s">
        <v>1828</v>
      </c>
    </row>
    <row r="164" spans="7:10" ht="22.5" x14ac:dyDescent="0.2">
      <c r="G164" s="6" t="s">
        <v>8093</v>
      </c>
      <c r="H164" s="6" t="s">
        <v>5889</v>
      </c>
      <c r="I164" s="6" t="s">
        <v>1828</v>
      </c>
      <c r="J164" s="6" t="s">
        <v>4092</v>
      </c>
    </row>
    <row r="165" spans="7:10" ht="22.5" x14ac:dyDescent="0.2">
      <c r="G165" s="6" t="s">
        <v>8093</v>
      </c>
      <c r="H165" s="6" t="s">
        <v>5889</v>
      </c>
      <c r="I165" s="6" t="s">
        <v>1828</v>
      </c>
      <c r="J165" s="6" t="s">
        <v>14734</v>
      </c>
    </row>
    <row r="166" spans="7:10" ht="22.5" x14ac:dyDescent="0.2">
      <c r="G166" s="6" t="s">
        <v>8093</v>
      </c>
      <c r="H166" s="6" t="s">
        <v>5889</v>
      </c>
      <c r="I166" s="6" t="s">
        <v>9708</v>
      </c>
      <c r="J166" s="6" t="s">
        <v>9708</v>
      </c>
    </row>
    <row r="167" spans="7:10" ht="22.5" x14ac:dyDescent="0.2">
      <c r="G167" s="6" t="s">
        <v>8093</v>
      </c>
      <c r="H167" s="6" t="s">
        <v>5889</v>
      </c>
      <c r="I167" s="6" t="s">
        <v>13951</v>
      </c>
      <c r="J167" s="6" t="s">
        <v>9455</v>
      </c>
    </row>
    <row r="168" spans="7:10" ht="22.5" x14ac:dyDescent="0.2">
      <c r="G168" s="6" t="s">
        <v>8093</v>
      </c>
      <c r="H168" s="6" t="s">
        <v>5889</v>
      </c>
      <c r="I168" s="6" t="s">
        <v>13951</v>
      </c>
      <c r="J168" s="6" t="s">
        <v>14550</v>
      </c>
    </row>
    <row r="169" spans="7:10" ht="22.5" x14ac:dyDescent="0.2">
      <c r="G169" s="6" t="s">
        <v>8093</v>
      </c>
      <c r="H169" s="6" t="s">
        <v>5889</v>
      </c>
      <c r="I169" s="6" t="s">
        <v>13951</v>
      </c>
      <c r="J169" s="6" t="s">
        <v>7344</v>
      </c>
    </row>
    <row r="170" spans="7:10" ht="22.5" x14ac:dyDescent="0.2">
      <c r="G170" s="6" t="s">
        <v>8093</v>
      </c>
      <c r="H170" s="6" t="s">
        <v>5889</v>
      </c>
      <c r="I170" s="6" t="s">
        <v>13951</v>
      </c>
      <c r="J170" s="6" t="s">
        <v>13951</v>
      </c>
    </row>
    <row r="171" spans="7:10" x14ac:dyDescent="0.2">
      <c r="G171" s="6" t="s">
        <v>12506</v>
      </c>
      <c r="H171" s="6" t="s">
        <v>2459</v>
      </c>
      <c r="I171" s="6" t="s">
        <v>14610</v>
      </c>
      <c r="J171" s="6" t="s">
        <v>14610</v>
      </c>
    </row>
    <row r="172" spans="7:10" x14ac:dyDescent="0.2">
      <c r="G172" s="6" t="s">
        <v>12506</v>
      </c>
      <c r="H172" s="6" t="s">
        <v>2459</v>
      </c>
      <c r="I172" s="6" t="s">
        <v>14610</v>
      </c>
      <c r="J172" s="6" t="s">
        <v>6069</v>
      </c>
    </row>
    <row r="173" spans="7:10" x14ac:dyDescent="0.2">
      <c r="G173" s="6" t="s">
        <v>12506</v>
      </c>
      <c r="H173" s="6" t="s">
        <v>2459</v>
      </c>
      <c r="I173" s="6" t="s">
        <v>14610</v>
      </c>
      <c r="J173" s="6" t="s">
        <v>5278</v>
      </c>
    </row>
    <row r="174" spans="7:10" x14ac:dyDescent="0.2">
      <c r="G174" s="6" t="s">
        <v>12506</v>
      </c>
      <c r="H174" s="6" t="s">
        <v>2459</v>
      </c>
      <c r="I174" s="6" t="s">
        <v>8751</v>
      </c>
      <c r="J174" s="6" t="s">
        <v>8751</v>
      </c>
    </row>
    <row r="175" spans="7:10" x14ac:dyDescent="0.2">
      <c r="G175" s="6" t="s">
        <v>12506</v>
      </c>
      <c r="H175" s="6" t="s">
        <v>2459</v>
      </c>
      <c r="I175" s="6" t="s">
        <v>8751</v>
      </c>
      <c r="J175" s="6" t="s">
        <v>9293</v>
      </c>
    </row>
    <row r="176" spans="7:10" x14ac:dyDescent="0.2">
      <c r="G176" s="6" t="s">
        <v>12506</v>
      </c>
      <c r="H176" s="6" t="s">
        <v>2459</v>
      </c>
      <c r="I176" s="6" t="s">
        <v>8751</v>
      </c>
      <c r="J176" s="6" t="s">
        <v>9564</v>
      </c>
    </row>
    <row r="177" spans="7:10" x14ac:dyDescent="0.2">
      <c r="G177" s="6" t="s">
        <v>12506</v>
      </c>
      <c r="H177" s="6" t="s">
        <v>2459</v>
      </c>
      <c r="I177" s="6" t="s">
        <v>3654</v>
      </c>
      <c r="J177" s="6" t="s">
        <v>3654</v>
      </c>
    </row>
    <row r="178" spans="7:10" x14ac:dyDescent="0.2">
      <c r="G178" s="6" t="s">
        <v>12506</v>
      </c>
      <c r="H178" s="6" t="s">
        <v>2459</v>
      </c>
      <c r="I178" s="6" t="s">
        <v>3654</v>
      </c>
      <c r="J178" s="6" t="s">
        <v>4402</v>
      </c>
    </row>
    <row r="179" spans="7:10" x14ac:dyDescent="0.2">
      <c r="G179" s="6" t="s">
        <v>12506</v>
      </c>
      <c r="H179" s="6" t="s">
        <v>2459</v>
      </c>
      <c r="I179" s="6" t="s">
        <v>5786</v>
      </c>
      <c r="J179" s="6" t="s">
        <v>5786</v>
      </c>
    </row>
    <row r="180" spans="7:10" x14ac:dyDescent="0.2">
      <c r="G180" s="6" t="s">
        <v>12506</v>
      </c>
      <c r="H180" s="6" t="s">
        <v>2459</v>
      </c>
      <c r="I180" s="6" t="s">
        <v>5786</v>
      </c>
      <c r="J180" s="6" t="s">
        <v>11253</v>
      </c>
    </row>
    <row r="181" spans="7:10" x14ac:dyDescent="0.2">
      <c r="G181" s="6" t="s">
        <v>12506</v>
      </c>
      <c r="H181" s="6" t="s">
        <v>2459</v>
      </c>
      <c r="I181" s="6" t="s">
        <v>15718</v>
      </c>
      <c r="J181" s="6" t="s">
        <v>15718</v>
      </c>
    </row>
    <row r="182" spans="7:10" x14ac:dyDescent="0.2">
      <c r="G182" s="6" t="s">
        <v>12506</v>
      </c>
      <c r="H182" s="6" t="s">
        <v>2459</v>
      </c>
      <c r="I182" s="6" t="s">
        <v>10696</v>
      </c>
      <c r="J182" s="6" t="s">
        <v>10696</v>
      </c>
    </row>
    <row r="183" spans="7:10" x14ac:dyDescent="0.2">
      <c r="G183" s="6" t="s">
        <v>12506</v>
      </c>
      <c r="H183" s="6" t="s">
        <v>2459</v>
      </c>
      <c r="I183" s="6" t="s">
        <v>10696</v>
      </c>
      <c r="J183" s="6" t="s">
        <v>2301</v>
      </c>
    </row>
    <row r="184" spans="7:10" x14ac:dyDescent="0.2">
      <c r="G184" s="6" t="s">
        <v>12506</v>
      </c>
      <c r="H184" s="6" t="s">
        <v>3429</v>
      </c>
      <c r="I184" s="6" t="s">
        <v>14586</v>
      </c>
      <c r="J184" s="6" t="s">
        <v>16148</v>
      </c>
    </row>
    <row r="185" spans="7:10" x14ac:dyDescent="0.2">
      <c r="G185" s="6" t="s">
        <v>12506</v>
      </c>
      <c r="H185" s="6" t="s">
        <v>3429</v>
      </c>
      <c r="I185" s="6" t="s">
        <v>14586</v>
      </c>
      <c r="J185" s="6" t="s">
        <v>14586</v>
      </c>
    </row>
    <row r="186" spans="7:10" x14ac:dyDescent="0.2">
      <c r="G186" s="6" t="s">
        <v>12506</v>
      </c>
      <c r="H186" s="6" t="s">
        <v>3429</v>
      </c>
      <c r="I186" s="6" t="s">
        <v>14586</v>
      </c>
      <c r="J186" s="6" t="s">
        <v>10645</v>
      </c>
    </row>
    <row r="187" spans="7:10" x14ac:dyDescent="0.2">
      <c r="G187" s="6" t="s">
        <v>12506</v>
      </c>
      <c r="H187" s="6" t="s">
        <v>3429</v>
      </c>
      <c r="I187" s="6" t="s">
        <v>14149</v>
      </c>
      <c r="J187" s="6" t="s">
        <v>9577</v>
      </c>
    </row>
    <row r="188" spans="7:10" x14ac:dyDescent="0.2">
      <c r="G188" s="6" t="s">
        <v>12506</v>
      </c>
      <c r="H188" s="6" t="s">
        <v>3429</v>
      </c>
      <c r="I188" s="6" t="s">
        <v>14149</v>
      </c>
      <c r="J188" s="6" t="s">
        <v>14149</v>
      </c>
    </row>
    <row r="189" spans="7:10" x14ac:dyDescent="0.2">
      <c r="G189" s="6" t="s">
        <v>12506</v>
      </c>
      <c r="H189" s="6" t="s">
        <v>3429</v>
      </c>
      <c r="I189" s="6" t="s">
        <v>14149</v>
      </c>
      <c r="J189" s="6" t="s">
        <v>9033</v>
      </c>
    </row>
    <row r="190" spans="7:10" x14ac:dyDescent="0.2">
      <c r="G190" s="6" t="s">
        <v>12506</v>
      </c>
      <c r="H190" s="6" t="s">
        <v>3429</v>
      </c>
      <c r="I190" s="6" t="s">
        <v>10319</v>
      </c>
      <c r="J190" s="6" t="s">
        <v>11075</v>
      </c>
    </row>
    <row r="191" spans="7:10" x14ac:dyDescent="0.2">
      <c r="G191" s="6" t="s">
        <v>12506</v>
      </c>
      <c r="H191" s="6" t="s">
        <v>3429</v>
      </c>
      <c r="I191" s="6" t="s">
        <v>10319</v>
      </c>
      <c r="J191" s="6" t="s">
        <v>10319</v>
      </c>
    </row>
    <row r="192" spans="7:10"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7646</v>
      </c>
    </row>
    <row r="195" spans="7:10" ht="22.5" x14ac:dyDescent="0.2">
      <c r="G195" s="6" t="s">
        <v>12506</v>
      </c>
      <c r="H195" s="6" t="s">
        <v>3429</v>
      </c>
      <c r="I195" s="6" t="s">
        <v>15181</v>
      </c>
      <c r="J195" s="6" t="s">
        <v>3697</v>
      </c>
    </row>
    <row r="196" spans="7:10" ht="22.5" x14ac:dyDescent="0.2">
      <c r="G196" s="6" t="s">
        <v>12506</v>
      </c>
      <c r="H196" s="6" t="s">
        <v>3429</v>
      </c>
      <c r="I196" s="6" t="s">
        <v>15181</v>
      </c>
      <c r="J196" s="6" t="s">
        <v>4402</v>
      </c>
    </row>
    <row r="197" spans="7:10" ht="22.5" x14ac:dyDescent="0.2">
      <c r="G197" s="6" t="s">
        <v>12506</v>
      </c>
      <c r="H197" s="6" t="s">
        <v>3429</v>
      </c>
      <c r="I197" s="6" t="s">
        <v>15181</v>
      </c>
      <c r="J197" s="6" t="s">
        <v>13885</v>
      </c>
    </row>
    <row r="198" spans="7:10" ht="22.5" x14ac:dyDescent="0.2">
      <c r="G198" s="6" t="s">
        <v>12506</v>
      </c>
      <c r="H198" s="6" t="s">
        <v>3429</v>
      </c>
      <c r="I198" s="6" t="s">
        <v>15181</v>
      </c>
      <c r="J198" s="6" t="s">
        <v>4716</v>
      </c>
    </row>
    <row r="199" spans="7:10" ht="22.5" x14ac:dyDescent="0.2">
      <c r="G199" s="6" t="s">
        <v>12506</v>
      </c>
      <c r="H199" s="6" t="s">
        <v>3429</v>
      </c>
      <c r="I199" s="6" t="s">
        <v>15181</v>
      </c>
      <c r="J199" s="6" t="s">
        <v>9207</v>
      </c>
    </row>
    <row r="200" spans="7:10" ht="22.5" x14ac:dyDescent="0.2">
      <c r="G200" s="6" t="s">
        <v>12506</v>
      </c>
      <c r="H200" s="6" t="s">
        <v>3429</v>
      </c>
      <c r="I200" s="6" t="s">
        <v>15181</v>
      </c>
      <c r="J200" s="6" t="s">
        <v>2863</v>
      </c>
    </row>
    <row r="201" spans="7:10" ht="22.5" x14ac:dyDescent="0.2">
      <c r="G201" s="6" t="s">
        <v>12506</v>
      </c>
      <c r="H201" s="6" t="s">
        <v>3429</v>
      </c>
      <c r="I201" s="6" t="s">
        <v>15181</v>
      </c>
      <c r="J201" s="6" t="s">
        <v>12283</v>
      </c>
    </row>
    <row r="202" spans="7:10" ht="22.5" x14ac:dyDescent="0.2">
      <c r="G202" s="6" t="s">
        <v>12506</v>
      </c>
      <c r="H202" s="6" t="s">
        <v>3429</v>
      </c>
      <c r="I202" s="6" t="s">
        <v>15181</v>
      </c>
      <c r="J202" s="6" t="s">
        <v>18632</v>
      </c>
    </row>
    <row r="203" spans="7:10" ht="22.5" x14ac:dyDescent="0.2">
      <c r="G203" s="6" t="s">
        <v>12506</v>
      </c>
      <c r="H203" s="6" t="s">
        <v>3429</v>
      </c>
      <c r="I203" s="6" t="s">
        <v>15181</v>
      </c>
      <c r="J203" s="6" t="s">
        <v>10595</v>
      </c>
    </row>
    <row r="204" spans="7:10" ht="22.5" x14ac:dyDescent="0.2">
      <c r="G204" s="6" t="s">
        <v>12506</v>
      </c>
      <c r="H204" s="6" t="s">
        <v>3429</v>
      </c>
      <c r="I204" s="6" t="s">
        <v>15181</v>
      </c>
      <c r="J204" s="6" t="s">
        <v>15557</v>
      </c>
    </row>
    <row r="205" spans="7:10" ht="22.5" x14ac:dyDescent="0.2">
      <c r="G205" s="6" t="s">
        <v>12506</v>
      </c>
      <c r="H205" s="6" t="s">
        <v>3429</v>
      </c>
      <c r="I205" s="6" t="s">
        <v>15181</v>
      </c>
      <c r="J205" s="6" t="s">
        <v>15181</v>
      </c>
    </row>
    <row r="206" spans="7:10" x14ac:dyDescent="0.2">
      <c r="G206" s="6" t="s">
        <v>12506</v>
      </c>
      <c r="H206" s="6" t="s">
        <v>3429</v>
      </c>
      <c r="I206" s="6" t="s">
        <v>13826</v>
      </c>
      <c r="J206" s="6" t="s">
        <v>12374</v>
      </c>
    </row>
    <row r="207" spans="7:10" x14ac:dyDescent="0.2">
      <c r="G207" s="6" t="s">
        <v>12506</v>
      </c>
      <c r="H207" s="6" t="s">
        <v>3429</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12131</v>
      </c>
      <c r="J212" s="6" t="s">
        <v>17108</v>
      </c>
    </row>
    <row r="213" spans="7:10" x14ac:dyDescent="0.2">
      <c r="G213" s="6" t="s">
        <v>5958</v>
      </c>
      <c r="H213" s="6" t="s">
        <v>5614</v>
      </c>
      <c r="I213" s="6" t="s">
        <v>12131</v>
      </c>
      <c r="J213" s="6" t="s">
        <v>12131</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4288</v>
      </c>
      <c r="J232" s="6" t="s">
        <v>4288</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4564</v>
      </c>
      <c r="J235" s="6" t="s">
        <v>4564</v>
      </c>
    </row>
    <row r="236" spans="7:10" ht="22.5" x14ac:dyDescent="0.2">
      <c r="G236" s="6" t="s">
        <v>5958</v>
      </c>
      <c r="H236" s="6" t="s">
        <v>2698</v>
      </c>
      <c r="I236" s="6" t="s">
        <v>11266</v>
      </c>
      <c r="J236" s="6" t="s">
        <v>5026</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12704</v>
      </c>
      <c r="I244" s="6" t="s">
        <v>8766</v>
      </c>
      <c r="J244" s="6" t="s">
        <v>14190</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17507</v>
      </c>
    </row>
    <row r="249" spans="7:10" x14ac:dyDescent="0.2">
      <c r="G249" s="6" t="s">
        <v>5958</v>
      </c>
      <c r="H249" s="6" t="s">
        <v>12704</v>
      </c>
      <c r="I249" s="6" t="s">
        <v>5605</v>
      </c>
      <c r="J249" s="6" t="s">
        <v>15670</v>
      </c>
    </row>
    <row r="250" spans="7:10" x14ac:dyDescent="0.2">
      <c r="G250" s="6" t="s">
        <v>5958</v>
      </c>
      <c r="H250" s="6" t="s">
        <v>12704</v>
      </c>
      <c r="I250" s="6" t="s">
        <v>5605</v>
      </c>
      <c r="J250" s="6" t="s">
        <v>7713</v>
      </c>
    </row>
    <row r="251" spans="7:10" x14ac:dyDescent="0.2">
      <c r="G251" s="6" t="s">
        <v>5958</v>
      </c>
      <c r="H251" s="6" t="s">
        <v>12704</v>
      </c>
      <c r="I251" s="6" t="s">
        <v>5605</v>
      </c>
      <c r="J251" s="6" t="s">
        <v>5605</v>
      </c>
    </row>
    <row r="252" spans="7:10" x14ac:dyDescent="0.2">
      <c r="G252" s="6" t="s">
        <v>5958</v>
      </c>
      <c r="H252" s="6" t="s">
        <v>12704</v>
      </c>
      <c r="I252" s="6" t="s">
        <v>10763</v>
      </c>
      <c r="J252" s="6" t="s">
        <v>10763</v>
      </c>
    </row>
    <row r="253" spans="7:10" x14ac:dyDescent="0.2">
      <c r="G253" s="6" t="s">
        <v>5958</v>
      </c>
      <c r="H253" s="6" t="s">
        <v>12704</v>
      </c>
      <c r="I253" s="6" t="s">
        <v>14793</v>
      </c>
      <c r="J253" s="6" t="s">
        <v>14793</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18822</v>
      </c>
      <c r="I256" s="6" t="s">
        <v>10494</v>
      </c>
      <c r="J256" s="6" t="s">
        <v>14373</v>
      </c>
    </row>
    <row r="257" spans="7:10" x14ac:dyDescent="0.2">
      <c r="G257" s="6" t="s">
        <v>5958</v>
      </c>
      <c r="H257" s="6" t="s">
        <v>18822</v>
      </c>
      <c r="I257" s="6" t="s">
        <v>10494</v>
      </c>
      <c r="J257" s="6" t="s">
        <v>10494</v>
      </c>
    </row>
    <row r="258" spans="7:10" x14ac:dyDescent="0.2">
      <c r="G258" s="6" t="s">
        <v>5958</v>
      </c>
      <c r="H258" s="6" t="s">
        <v>18822</v>
      </c>
      <c r="I258" s="6" t="s">
        <v>18822</v>
      </c>
      <c r="J258" s="6" t="s">
        <v>12679</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13246</v>
      </c>
      <c r="J282" s="6" t="s">
        <v>13246</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11858</v>
      </c>
    </row>
    <row r="297" spans="7:10" ht="22.5" x14ac:dyDescent="0.2">
      <c r="G297" s="6" t="s">
        <v>3080</v>
      </c>
      <c r="H297" s="6" t="s">
        <v>14448</v>
      </c>
      <c r="I297" s="6" t="s">
        <v>11466</v>
      </c>
      <c r="J297" s="6" t="s">
        <v>11466</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12223</v>
      </c>
    </row>
    <row r="309" spans="7:10" ht="22.5" x14ac:dyDescent="0.2">
      <c r="G309" s="6" t="s">
        <v>18355</v>
      </c>
      <c r="H309" s="6" t="s">
        <v>6673</v>
      </c>
      <c r="I309" s="6" t="s">
        <v>51</v>
      </c>
      <c r="J309" s="6" t="s">
        <v>12694</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5826</v>
      </c>
    </row>
    <row r="316" spans="7:10" ht="22.5" x14ac:dyDescent="0.2">
      <c r="G316" s="6" t="s">
        <v>18355</v>
      </c>
      <c r="H316" s="6" t="s">
        <v>6673</v>
      </c>
      <c r="I316" s="6" t="s">
        <v>12890</v>
      </c>
      <c r="J316" s="6" t="s">
        <v>6859</v>
      </c>
    </row>
    <row r="317" spans="7:10" ht="22.5" x14ac:dyDescent="0.2">
      <c r="G317" s="6" t="s">
        <v>18355</v>
      </c>
      <c r="H317" s="6" t="s">
        <v>6673</v>
      </c>
      <c r="I317" s="6" t="s">
        <v>12890</v>
      </c>
      <c r="J317" s="6" t="s">
        <v>12890</v>
      </c>
    </row>
    <row r="318" spans="7:10" ht="22.5" x14ac:dyDescent="0.2">
      <c r="G318" s="6" t="s">
        <v>18355</v>
      </c>
      <c r="H318" s="6" t="s">
        <v>6673</v>
      </c>
      <c r="I318" s="6" t="s">
        <v>12890</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12421</v>
      </c>
      <c r="J327" s="6" t="s">
        <v>7228</v>
      </c>
    </row>
    <row r="328" spans="7:10" x14ac:dyDescent="0.2">
      <c r="G328" s="6" t="s">
        <v>18355</v>
      </c>
      <c r="H328" s="6" t="s">
        <v>6673</v>
      </c>
      <c r="I328" s="6" t="s">
        <v>12421</v>
      </c>
      <c r="J328" s="6" t="s">
        <v>4285</v>
      </c>
    </row>
    <row r="329" spans="7:10" x14ac:dyDescent="0.2">
      <c r="G329" s="6" t="s">
        <v>18355</v>
      </c>
      <c r="H329" s="6" t="s">
        <v>6673</v>
      </c>
      <c r="I329" s="6" t="s">
        <v>12421</v>
      </c>
      <c r="J329" s="6" t="s">
        <v>6331</v>
      </c>
    </row>
    <row r="330" spans="7:10" x14ac:dyDescent="0.2">
      <c r="G330" s="6" t="s">
        <v>18355</v>
      </c>
      <c r="H330" s="6" t="s">
        <v>6673</v>
      </c>
      <c r="I330" s="6" t="s">
        <v>12421</v>
      </c>
      <c r="J330" s="6" t="s">
        <v>12421</v>
      </c>
    </row>
    <row r="331" spans="7:10" x14ac:dyDescent="0.2">
      <c r="G331" s="6" t="s">
        <v>18355</v>
      </c>
      <c r="H331" s="6" t="s">
        <v>6673</v>
      </c>
      <c r="I331" s="6" t="s">
        <v>11179</v>
      </c>
      <c r="J331" s="6" t="s">
        <v>4435</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5155</v>
      </c>
      <c r="I335" s="6" t="s">
        <v>9102</v>
      </c>
      <c r="J335" s="6" t="s">
        <v>9102</v>
      </c>
    </row>
    <row r="336" spans="7:10" x14ac:dyDescent="0.2">
      <c r="G336" s="6" t="s">
        <v>18355</v>
      </c>
      <c r="H336" s="6" t="s">
        <v>5155</v>
      </c>
      <c r="I336" s="6" t="s">
        <v>9102</v>
      </c>
      <c r="J336" s="6" t="s">
        <v>12600</v>
      </c>
    </row>
    <row r="337" spans="7:10" x14ac:dyDescent="0.2">
      <c r="G337" s="6" t="s">
        <v>18355</v>
      </c>
      <c r="H337" s="6" t="s">
        <v>5155</v>
      </c>
      <c r="I337" s="6" t="s">
        <v>9102</v>
      </c>
      <c r="J337" s="6" t="s">
        <v>14359</v>
      </c>
    </row>
    <row r="338" spans="7:10" x14ac:dyDescent="0.2">
      <c r="G338" s="6" t="s">
        <v>18355</v>
      </c>
      <c r="H338" s="6" t="s">
        <v>5155</v>
      </c>
      <c r="I338" s="6" t="s">
        <v>9102</v>
      </c>
      <c r="J338" s="6" t="s">
        <v>12414</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6289</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5863</v>
      </c>
    </row>
    <row r="350" spans="7:10" ht="22.5" x14ac:dyDescent="0.2">
      <c r="G350" s="6" t="s">
        <v>18355</v>
      </c>
      <c r="H350" s="6" t="s">
        <v>15160</v>
      </c>
      <c r="I350" s="6" t="s">
        <v>17637</v>
      </c>
      <c r="J350" s="6" t="s">
        <v>12239</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12497</v>
      </c>
      <c r="J353" s="6" t="s">
        <v>12497</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3949</v>
      </c>
    </row>
    <row r="375" spans="7:10" ht="22.5" x14ac:dyDescent="0.2">
      <c r="G375" s="6" t="s">
        <v>17539</v>
      </c>
      <c r="H375" s="6" t="s">
        <v>10723</v>
      </c>
      <c r="I375" s="6" t="s">
        <v>18073</v>
      </c>
      <c r="J375" s="6" t="s">
        <v>10886</v>
      </c>
    </row>
    <row r="376" spans="7:10" ht="22.5" x14ac:dyDescent="0.2">
      <c r="G376" s="6" t="s">
        <v>17539</v>
      </c>
      <c r="H376" s="6" t="s">
        <v>628</v>
      </c>
      <c r="I376" s="6" t="s">
        <v>12141</v>
      </c>
      <c r="J376" s="6" t="s">
        <v>6992</v>
      </c>
    </row>
    <row r="377" spans="7:10" ht="22.5" x14ac:dyDescent="0.2">
      <c r="G377" s="6" t="s">
        <v>17539</v>
      </c>
      <c r="H377" s="6" t="s">
        <v>628</v>
      </c>
      <c r="I377" s="6" t="s">
        <v>12141</v>
      </c>
      <c r="J377" s="6" t="s">
        <v>9384</v>
      </c>
    </row>
    <row r="378" spans="7:10" ht="22.5" x14ac:dyDescent="0.2">
      <c r="G378" s="6" t="s">
        <v>17539</v>
      </c>
      <c r="H378" s="6" t="s">
        <v>628</v>
      </c>
      <c r="I378" s="6" t="s">
        <v>12141</v>
      </c>
      <c r="J378" s="6" t="s">
        <v>12141</v>
      </c>
    </row>
    <row r="379" spans="7:10" ht="22.5" x14ac:dyDescent="0.2">
      <c r="G379" s="6" t="s">
        <v>17539</v>
      </c>
      <c r="H379" s="6" t="s">
        <v>628</v>
      </c>
      <c r="I379" s="6" t="s">
        <v>12141</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10101</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13526</v>
      </c>
    </row>
    <row r="2" spans="1:2" x14ac:dyDescent="0.25">
      <c r="A2" s="57">
        <v>10101502</v>
      </c>
      <c r="B2" s="58" t="s">
        <v>15643</v>
      </c>
    </row>
    <row r="3" spans="1:2" x14ac:dyDescent="0.25">
      <c r="A3" s="57">
        <v>10101504</v>
      </c>
      <c r="B3" s="58" t="s">
        <v>6212</v>
      </c>
    </row>
    <row r="4" spans="1:2" x14ac:dyDescent="0.25">
      <c r="A4" s="57">
        <v>10101505</v>
      </c>
      <c r="B4" s="58" t="s">
        <v>6081</v>
      </c>
    </row>
    <row r="5" spans="1:2" x14ac:dyDescent="0.25">
      <c r="A5" s="57">
        <v>10101506</v>
      </c>
      <c r="B5" s="58" t="s">
        <v>12251</v>
      </c>
    </row>
    <row r="6" spans="1:2" x14ac:dyDescent="0.25">
      <c r="A6" s="57">
        <v>10101507</v>
      </c>
      <c r="B6" s="58" t="s">
        <v>10584</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9955</v>
      </c>
    </row>
    <row r="12" spans="1:2" x14ac:dyDescent="0.25">
      <c r="A12" s="57">
        <v>10101513</v>
      </c>
      <c r="B12" s="58" t="s">
        <v>5966</v>
      </c>
    </row>
    <row r="13" spans="1:2" x14ac:dyDescent="0.25">
      <c r="A13" s="57">
        <v>10101514</v>
      </c>
      <c r="B13" s="58" t="s">
        <v>15764</v>
      </c>
    </row>
    <row r="14" spans="1:2" x14ac:dyDescent="0.25">
      <c r="A14" s="57">
        <v>10101515</v>
      </c>
      <c r="B14" s="58" t="s">
        <v>5984</v>
      </c>
    </row>
    <row r="15" spans="1:2" x14ac:dyDescent="0.25">
      <c r="A15" s="57">
        <v>10101516</v>
      </c>
      <c r="B15" s="58" t="s">
        <v>6565</v>
      </c>
    </row>
    <row r="16" spans="1:2" x14ac:dyDescent="0.25">
      <c r="A16" s="57">
        <v>10101517</v>
      </c>
      <c r="B16" s="58" t="s">
        <v>13659</v>
      </c>
    </row>
    <row r="17" spans="1:2" x14ac:dyDescent="0.25">
      <c r="A17" s="57">
        <v>10101601</v>
      </c>
      <c r="B17" s="58" t="s">
        <v>5544</v>
      </c>
    </row>
    <row r="18" spans="1:2" x14ac:dyDescent="0.25">
      <c r="A18" s="57">
        <v>10101602</v>
      </c>
      <c r="B18" s="58" t="s">
        <v>8485</v>
      </c>
    </row>
    <row r="19" spans="1:2" x14ac:dyDescent="0.25">
      <c r="A19" s="57">
        <v>10101603</v>
      </c>
      <c r="B19" s="58" t="s">
        <v>12681</v>
      </c>
    </row>
    <row r="20" spans="1:2" x14ac:dyDescent="0.25">
      <c r="A20" s="57">
        <v>10101604</v>
      </c>
      <c r="B20" s="58" t="s">
        <v>9166</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10738</v>
      </c>
    </row>
    <row r="34" spans="1:2" x14ac:dyDescent="0.25">
      <c r="A34" s="57">
        <v>10101808</v>
      </c>
      <c r="B34" s="58" t="s">
        <v>7434</v>
      </c>
    </row>
    <row r="35" spans="1:2" x14ac:dyDescent="0.25">
      <c r="A35" s="57">
        <v>10101901</v>
      </c>
      <c r="B35" s="58" t="s">
        <v>10155</v>
      </c>
    </row>
    <row r="36" spans="1:2" x14ac:dyDescent="0.25">
      <c r="A36" s="57">
        <v>10101902</v>
      </c>
      <c r="B36" s="58" t="s">
        <v>14168</v>
      </c>
    </row>
    <row r="37" spans="1:2" x14ac:dyDescent="0.25">
      <c r="A37" s="57">
        <v>10101903</v>
      </c>
      <c r="B37" s="58" t="s">
        <v>8346</v>
      </c>
    </row>
    <row r="38" spans="1:2" x14ac:dyDescent="0.25">
      <c r="A38" s="57">
        <v>10101904</v>
      </c>
      <c r="B38" s="58" t="s">
        <v>16404</v>
      </c>
    </row>
    <row r="39" spans="1:2" x14ac:dyDescent="0.25">
      <c r="A39" s="57">
        <v>10102001</v>
      </c>
      <c r="B39" s="58" t="s">
        <v>9776</v>
      </c>
    </row>
    <row r="40" spans="1:2" x14ac:dyDescent="0.25">
      <c r="A40" s="57">
        <v>10102002</v>
      </c>
      <c r="B40" s="58" t="s">
        <v>4570</v>
      </c>
    </row>
    <row r="41" spans="1:2" x14ac:dyDescent="0.25">
      <c r="A41" s="57">
        <v>10111301</v>
      </c>
      <c r="B41" s="58" t="s">
        <v>17400</v>
      </c>
    </row>
    <row r="42" spans="1:2" x14ac:dyDescent="0.25">
      <c r="A42" s="57">
        <v>10111302</v>
      </c>
      <c r="B42" s="58" t="s">
        <v>17110</v>
      </c>
    </row>
    <row r="43" spans="1:2" x14ac:dyDescent="0.25">
      <c r="A43" s="57">
        <v>10111303</v>
      </c>
      <c r="B43" s="58" t="s">
        <v>12215</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11506</v>
      </c>
    </row>
    <row r="48" spans="1:2" x14ac:dyDescent="0.25">
      <c r="A48" s="57">
        <v>10121501</v>
      </c>
      <c r="B48" s="58" t="s">
        <v>6276</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10762</v>
      </c>
    </row>
    <row r="54" spans="1:2" x14ac:dyDescent="0.25">
      <c r="A54" s="57">
        <v>10121601</v>
      </c>
      <c r="B54" s="58" t="s">
        <v>11259</v>
      </c>
    </row>
    <row r="55" spans="1:2" x14ac:dyDescent="0.25">
      <c r="A55" s="57">
        <v>10121602</v>
      </c>
      <c r="B55" s="58" t="s">
        <v>10827</v>
      </c>
    </row>
    <row r="56" spans="1:2" x14ac:dyDescent="0.25">
      <c r="A56" s="57">
        <v>10121603</v>
      </c>
      <c r="B56" s="58" t="s">
        <v>15844</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11433</v>
      </c>
    </row>
    <row r="64" spans="1:2" x14ac:dyDescent="0.25">
      <c r="A64" s="57">
        <v>10121804</v>
      </c>
      <c r="B64" s="58" t="s">
        <v>3462</v>
      </c>
    </row>
    <row r="65" spans="1:2" x14ac:dyDescent="0.25">
      <c r="A65" s="57">
        <v>10121805</v>
      </c>
      <c r="B65" s="58" t="s">
        <v>12713</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10508</v>
      </c>
    </row>
    <row r="73" spans="1:2" x14ac:dyDescent="0.25">
      <c r="A73" s="57">
        <v>10122103</v>
      </c>
      <c r="B73" s="58" t="s">
        <v>1073</v>
      </c>
    </row>
    <row r="74" spans="1:2" x14ac:dyDescent="0.25">
      <c r="A74" s="57">
        <v>10131506</v>
      </c>
      <c r="B74" s="58" t="s">
        <v>11510</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11377</v>
      </c>
    </row>
    <row r="93" spans="1:2" x14ac:dyDescent="0.25">
      <c r="A93" s="57">
        <v>10141607</v>
      </c>
      <c r="B93" s="58" t="s">
        <v>4279</v>
      </c>
    </row>
    <row r="94" spans="1:2" x14ac:dyDescent="0.25">
      <c r="A94" s="57">
        <v>10141608</v>
      </c>
      <c r="B94" s="58" t="s">
        <v>6187</v>
      </c>
    </row>
    <row r="95" spans="1:2" x14ac:dyDescent="0.25">
      <c r="A95" s="57">
        <v>10141609</v>
      </c>
      <c r="B95" s="58" t="s">
        <v>7450</v>
      </c>
    </row>
    <row r="96" spans="1:2" x14ac:dyDescent="0.25">
      <c r="A96" s="57">
        <v>10141610</v>
      </c>
      <c r="B96" s="58" t="s">
        <v>14401</v>
      </c>
    </row>
    <row r="97" spans="1:2" x14ac:dyDescent="0.25">
      <c r="A97" s="57">
        <v>10141611</v>
      </c>
      <c r="B97" s="58" t="s">
        <v>11662</v>
      </c>
    </row>
    <row r="98" spans="1:2" x14ac:dyDescent="0.25">
      <c r="A98" s="57">
        <v>10151501</v>
      </c>
      <c r="B98" s="58" t="s">
        <v>1468</v>
      </c>
    </row>
    <row r="99" spans="1:2" x14ac:dyDescent="0.25">
      <c r="A99" s="57">
        <v>10151502</v>
      </c>
      <c r="B99" s="58" t="s">
        <v>18814</v>
      </c>
    </row>
    <row r="100" spans="1:2" x14ac:dyDescent="0.25">
      <c r="A100" s="57">
        <v>10151503</v>
      </c>
      <c r="B100" s="58" t="s">
        <v>5030</v>
      </c>
    </row>
    <row r="101" spans="1:2" x14ac:dyDescent="0.25">
      <c r="A101" s="57">
        <v>10151504</v>
      </c>
      <c r="B101" s="58" t="s">
        <v>14685</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10357</v>
      </c>
    </row>
    <row r="108" spans="1:2" x14ac:dyDescent="0.25">
      <c r="A108" s="57">
        <v>10151511</v>
      </c>
      <c r="B108" s="58" t="s">
        <v>322</v>
      </c>
    </row>
    <row r="109" spans="1:2" x14ac:dyDescent="0.25">
      <c r="A109" s="57">
        <v>10151512</v>
      </c>
      <c r="B109" s="58" t="s">
        <v>10388</v>
      </c>
    </row>
    <row r="110" spans="1:2" x14ac:dyDescent="0.25">
      <c r="A110" s="57">
        <v>10151513</v>
      </c>
      <c r="B110" s="58" t="s">
        <v>11085</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10480</v>
      </c>
    </row>
    <row r="120" spans="1:2" x14ac:dyDescent="0.25">
      <c r="A120" s="57">
        <v>10151523</v>
      </c>
      <c r="B120" s="58" t="s">
        <v>3144</v>
      </c>
    </row>
    <row r="121" spans="1:2" x14ac:dyDescent="0.25">
      <c r="A121" s="57">
        <v>10151524</v>
      </c>
      <c r="B121" s="58" t="s">
        <v>11218</v>
      </c>
    </row>
    <row r="122" spans="1:2" x14ac:dyDescent="0.25">
      <c r="A122" s="57">
        <v>10151525</v>
      </c>
      <c r="B122" s="58" t="s">
        <v>9746</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13161</v>
      </c>
    </row>
    <row r="127" spans="1:2" x14ac:dyDescent="0.25">
      <c r="A127" s="57">
        <v>10151530</v>
      </c>
      <c r="B127" s="58" t="s">
        <v>2964</v>
      </c>
    </row>
    <row r="128" spans="1:2" x14ac:dyDescent="0.25">
      <c r="A128" s="57">
        <v>10151531</v>
      </c>
      <c r="B128" s="58" t="s">
        <v>13543</v>
      </c>
    </row>
    <row r="129" spans="1:2" x14ac:dyDescent="0.25">
      <c r="A129" s="57">
        <v>10151532</v>
      </c>
      <c r="B129" s="58" t="s">
        <v>10703</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12432</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11505</v>
      </c>
    </row>
    <row r="151" spans="1:2" x14ac:dyDescent="0.25">
      <c r="A151" s="57">
        <v>10151802</v>
      </c>
      <c r="B151" s="58" t="s">
        <v>16075</v>
      </c>
    </row>
    <row r="152" spans="1:2" x14ac:dyDescent="0.25">
      <c r="A152" s="57">
        <v>10151803</v>
      </c>
      <c r="B152" s="58" t="s">
        <v>9663</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13225</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13430</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11192</v>
      </c>
    </row>
    <row r="171" spans="1:2" x14ac:dyDescent="0.25">
      <c r="A171" s="57">
        <v>10152101</v>
      </c>
      <c r="B171" s="58" t="s">
        <v>17377</v>
      </c>
    </row>
    <row r="172" spans="1:2" x14ac:dyDescent="0.25">
      <c r="A172" s="57">
        <v>10152102</v>
      </c>
      <c r="B172" s="58" t="s">
        <v>1107</v>
      </c>
    </row>
    <row r="173" spans="1:2" x14ac:dyDescent="0.25">
      <c r="A173" s="57">
        <v>10152103</v>
      </c>
      <c r="B173" s="58" t="s">
        <v>5491</v>
      </c>
    </row>
    <row r="174" spans="1:2" x14ac:dyDescent="0.25">
      <c r="A174" s="57">
        <v>10152104</v>
      </c>
      <c r="B174" s="58" t="s">
        <v>9826</v>
      </c>
    </row>
    <row r="175" spans="1:2" x14ac:dyDescent="0.25">
      <c r="A175" s="57">
        <v>10152201</v>
      </c>
      <c r="B175" s="58" t="s">
        <v>12822</v>
      </c>
    </row>
    <row r="176" spans="1:2" x14ac:dyDescent="0.25">
      <c r="A176" s="57">
        <v>10152202</v>
      </c>
      <c r="B176" s="58" t="s">
        <v>10030</v>
      </c>
    </row>
    <row r="177" spans="1:2" x14ac:dyDescent="0.25">
      <c r="A177" s="57">
        <v>10161501</v>
      </c>
      <c r="B177" s="58" t="s">
        <v>17512</v>
      </c>
    </row>
    <row r="178" spans="1:2" x14ac:dyDescent="0.25">
      <c r="A178" s="57">
        <v>10161502</v>
      </c>
      <c r="B178" s="58" t="s">
        <v>16481</v>
      </c>
    </row>
    <row r="179" spans="1:2" x14ac:dyDescent="0.25">
      <c r="A179" s="57">
        <v>10161503</v>
      </c>
      <c r="B179" s="58" t="s">
        <v>10733</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10490</v>
      </c>
    </row>
    <row r="186" spans="1:2" x14ac:dyDescent="0.25">
      <c r="A186" s="57">
        <v>10161510</v>
      </c>
      <c r="B186" s="58" t="s">
        <v>11133</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12565</v>
      </c>
    </row>
    <row r="198" spans="1:2" x14ac:dyDescent="0.25">
      <c r="A198" s="57">
        <v>10161704</v>
      </c>
      <c r="B198" s="58" t="s">
        <v>11297</v>
      </c>
    </row>
    <row r="199" spans="1:2" x14ac:dyDescent="0.25">
      <c r="A199" s="57">
        <v>10161705</v>
      </c>
      <c r="B199" s="58" t="s">
        <v>3152</v>
      </c>
    </row>
    <row r="200" spans="1:2" x14ac:dyDescent="0.25">
      <c r="A200" s="57">
        <v>10161707</v>
      </c>
      <c r="B200" s="58" t="s">
        <v>9717</v>
      </c>
    </row>
    <row r="201" spans="1:2" x14ac:dyDescent="0.25">
      <c r="A201" s="57">
        <v>10161801</v>
      </c>
      <c r="B201" s="58" t="s">
        <v>7792</v>
      </c>
    </row>
    <row r="202" spans="1:2" x14ac:dyDescent="0.25">
      <c r="A202" s="57">
        <v>10161802</v>
      </c>
      <c r="B202" s="58" t="s">
        <v>13524</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9941</v>
      </c>
    </row>
    <row r="209" spans="1:2" x14ac:dyDescent="0.25">
      <c r="A209" s="57">
        <v>10161905</v>
      </c>
      <c r="B209" s="58" t="s">
        <v>861</v>
      </c>
    </row>
    <row r="210" spans="1:2" x14ac:dyDescent="0.25">
      <c r="A210" s="57">
        <v>10161906</v>
      </c>
      <c r="B210" s="58" t="s">
        <v>10587</v>
      </c>
    </row>
    <row r="211" spans="1:2" x14ac:dyDescent="0.25">
      <c r="A211" s="57">
        <v>10161907</v>
      </c>
      <c r="B211" s="58" t="s">
        <v>1351</v>
      </c>
    </row>
    <row r="212" spans="1:2" x14ac:dyDescent="0.25">
      <c r="A212" s="57">
        <v>10161908</v>
      </c>
      <c r="B212" s="58" t="s">
        <v>11953</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6188</v>
      </c>
    </row>
    <row r="228" spans="1:2" x14ac:dyDescent="0.25">
      <c r="A228" s="57">
        <v>10191701</v>
      </c>
      <c r="B228" s="58" t="s">
        <v>15088</v>
      </c>
    </row>
    <row r="229" spans="1:2" x14ac:dyDescent="0.25">
      <c r="A229" s="57">
        <v>10191703</v>
      </c>
      <c r="B229" s="58" t="s">
        <v>5994</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14635</v>
      </c>
    </row>
    <row r="241" spans="1:2" x14ac:dyDescent="0.25">
      <c r="A241" s="57">
        <v>11101509</v>
      </c>
      <c r="B241" s="58" t="s">
        <v>12520</v>
      </c>
    </row>
    <row r="242" spans="1:2" x14ac:dyDescent="0.25">
      <c r="A242" s="57">
        <v>11101510</v>
      </c>
      <c r="B242" s="58" t="s">
        <v>17279</v>
      </c>
    </row>
    <row r="243" spans="1:2" x14ac:dyDescent="0.25">
      <c r="A243" s="57">
        <v>11101511</v>
      </c>
      <c r="B243" s="58" t="s">
        <v>6291</v>
      </c>
    </row>
    <row r="244" spans="1:2" x14ac:dyDescent="0.25">
      <c r="A244" s="57">
        <v>11101512</v>
      </c>
      <c r="B244" s="58" t="s">
        <v>5578</v>
      </c>
    </row>
    <row r="245" spans="1:2" x14ac:dyDescent="0.25">
      <c r="A245" s="57">
        <v>11101513</v>
      </c>
      <c r="B245" s="58" t="s">
        <v>10049</v>
      </c>
    </row>
    <row r="246" spans="1:2" x14ac:dyDescent="0.25">
      <c r="A246" s="57">
        <v>11101514</v>
      </c>
      <c r="B246" s="58" t="s">
        <v>10455</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14301</v>
      </c>
    </row>
    <row r="252" spans="1:2" x14ac:dyDescent="0.25">
      <c r="A252" s="57">
        <v>11101520</v>
      </c>
      <c r="B252" s="58" t="s">
        <v>9735</v>
      </c>
    </row>
    <row r="253" spans="1:2" x14ac:dyDescent="0.25">
      <c r="A253" s="57">
        <v>11101521</v>
      </c>
      <c r="B253" s="58" t="s">
        <v>218</v>
      </c>
    </row>
    <row r="254" spans="1:2" x14ac:dyDescent="0.25">
      <c r="A254" s="57">
        <v>11101522</v>
      </c>
      <c r="B254" s="58" t="s">
        <v>11219</v>
      </c>
    </row>
    <row r="255" spans="1:2" x14ac:dyDescent="0.25">
      <c r="A255" s="57">
        <v>11101523</v>
      </c>
      <c r="B255" s="58" t="s">
        <v>13079</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10219</v>
      </c>
    </row>
    <row r="260" spans="1:2" x14ac:dyDescent="0.25">
      <c r="A260" s="57">
        <v>11101601</v>
      </c>
      <c r="B260" s="58" t="s">
        <v>7454</v>
      </c>
    </row>
    <row r="261" spans="1:2" x14ac:dyDescent="0.25">
      <c r="A261" s="57">
        <v>11101602</v>
      </c>
      <c r="B261" s="58" t="s">
        <v>10679</v>
      </c>
    </row>
    <row r="262" spans="1:2" x14ac:dyDescent="0.25">
      <c r="A262" s="57">
        <v>11101603</v>
      </c>
      <c r="B262" s="58" t="s">
        <v>16253</v>
      </c>
    </row>
    <row r="263" spans="1:2" x14ac:dyDescent="0.25">
      <c r="A263" s="57">
        <v>11101604</v>
      </c>
      <c r="B263" s="58" t="s">
        <v>5453</v>
      </c>
    </row>
    <row r="264" spans="1:2" x14ac:dyDescent="0.25">
      <c r="A264" s="57">
        <v>11101605</v>
      </c>
      <c r="B264" s="58" t="s">
        <v>9824</v>
      </c>
    </row>
    <row r="265" spans="1:2" x14ac:dyDescent="0.25">
      <c r="A265" s="57">
        <v>11101606</v>
      </c>
      <c r="B265" s="58" t="s">
        <v>13292</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12284</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10192</v>
      </c>
    </row>
    <row r="283" spans="1:2" x14ac:dyDescent="0.25">
      <c r="A283" s="57">
        <v>11101701</v>
      </c>
      <c r="B283" s="58" t="s">
        <v>12451</v>
      </c>
    </row>
    <row r="284" spans="1:2" x14ac:dyDescent="0.25">
      <c r="A284" s="57">
        <v>11101702</v>
      </c>
      <c r="B284" s="58" t="s">
        <v>18281</v>
      </c>
    </row>
    <row r="285" spans="1:2" x14ac:dyDescent="0.25">
      <c r="A285" s="57">
        <v>11101703</v>
      </c>
      <c r="B285" s="58" t="s">
        <v>5580</v>
      </c>
    </row>
    <row r="286" spans="1:2" x14ac:dyDescent="0.25">
      <c r="A286" s="57">
        <v>11101704</v>
      </c>
      <c r="B286" s="58" t="s">
        <v>12758</v>
      </c>
    </row>
    <row r="287" spans="1:2" x14ac:dyDescent="0.25">
      <c r="A287" s="57">
        <v>11101705</v>
      </c>
      <c r="B287" s="58" t="s">
        <v>13100</v>
      </c>
    </row>
    <row r="288" spans="1:2" x14ac:dyDescent="0.25">
      <c r="A288" s="57">
        <v>11101706</v>
      </c>
      <c r="B288" s="58" t="s">
        <v>14042</v>
      </c>
    </row>
    <row r="289" spans="1:2" x14ac:dyDescent="0.25">
      <c r="A289" s="57">
        <v>11101707</v>
      </c>
      <c r="B289" s="58" t="s">
        <v>12685</v>
      </c>
    </row>
    <row r="290" spans="1:2" x14ac:dyDescent="0.25">
      <c r="A290" s="57">
        <v>11101708</v>
      </c>
      <c r="B290" s="58" t="s">
        <v>5251</v>
      </c>
    </row>
    <row r="291" spans="1:2" x14ac:dyDescent="0.25">
      <c r="A291" s="57">
        <v>11101709</v>
      </c>
      <c r="B291" s="58" t="s">
        <v>12313</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10864</v>
      </c>
    </row>
    <row r="299" spans="1:2" x14ac:dyDescent="0.25">
      <c r="A299" s="57">
        <v>11101717</v>
      </c>
      <c r="B299" s="58" t="s">
        <v>17924</v>
      </c>
    </row>
    <row r="300" spans="1:2" x14ac:dyDescent="0.25">
      <c r="A300" s="57">
        <v>11101718</v>
      </c>
      <c r="B300" s="58" t="s">
        <v>8416</v>
      </c>
    </row>
    <row r="301" spans="1:2" x14ac:dyDescent="0.25">
      <c r="A301" s="57">
        <v>11101719</v>
      </c>
      <c r="B301" s="58" t="s">
        <v>5782</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12447</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14643</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12863</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13894</v>
      </c>
    </row>
    <row r="325" spans="1:2" x14ac:dyDescent="0.25">
      <c r="A325" s="57">
        <v>11111806</v>
      </c>
      <c r="B325" s="58" t="s">
        <v>6668</v>
      </c>
    </row>
    <row r="326" spans="1:2" x14ac:dyDescent="0.25">
      <c r="A326" s="57">
        <v>11111807</v>
      </c>
      <c r="B326" s="58" t="s">
        <v>9472</v>
      </c>
    </row>
    <row r="327" spans="1:2" x14ac:dyDescent="0.25">
      <c r="A327" s="57">
        <v>11111808</v>
      </c>
      <c r="B327" s="58" t="s">
        <v>11618</v>
      </c>
    </row>
    <row r="328" spans="1:2" x14ac:dyDescent="0.25">
      <c r="A328" s="57">
        <v>11111809</v>
      </c>
      <c r="B328" s="58" t="s">
        <v>4779</v>
      </c>
    </row>
    <row r="329" spans="1:2" x14ac:dyDescent="0.25">
      <c r="A329" s="57">
        <v>11111810</v>
      </c>
      <c r="B329" s="58" t="s">
        <v>8378</v>
      </c>
    </row>
    <row r="330" spans="1:2" x14ac:dyDescent="0.25">
      <c r="A330" s="57">
        <v>11121502</v>
      </c>
      <c r="B330" s="58" t="s">
        <v>12290</v>
      </c>
    </row>
    <row r="331" spans="1:2" x14ac:dyDescent="0.25">
      <c r="A331" s="57">
        <v>11121503</v>
      </c>
      <c r="B331" s="58" t="s">
        <v>16910</v>
      </c>
    </row>
    <row r="332" spans="1:2" x14ac:dyDescent="0.25">
      <c r="A332" s="57">
        <v>11121603</v>
      </c>
      <c r="B332" s="58" t="s">
        <v>8978</v>
      </c>
    </row>
    <row r="333" spans="1:2" x14ac:dyDescent="0.25">
      <c r="A333" s="57">
        <v>11121604</v>
      </c>
      <c r="B333" s="58" t="s">
        <v>11895</v>
      </c>
    </row>
    <row r="334" spans="1:2" x14ac:dyDescent="0.25">
      <c r="A334" s="57">
        <v>11121605</v>
      </c>
      <c r="B334" s="58" t="s">
        <v>5727</v>
      </c>
    </row>
    <row r="335" spans="1:2" x14ac:dyDescent="0.25">
      <c r="A335" s="57">
        <v>11121606</v>
      </c>
      <c r="B335" s="58" t="s">
        <v>5527</v>
      </c>
    </row>
    <row r="336" spans="1:2" x14ac:dyDescent="0.25">
      <c r="A336" s="57">
        <v>11121607</v>
      </c>
      <c r="B336" s="58" t="s">
        <v>13871</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10891</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9468</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14277</v>
      </c>
    </row>
    <row r="361" spans="1:2" x14ac:dyDescent="0.25">
      <c r="A361" s="57">
        <v>11121901</v>
      </c>
      <c r="B361" s="58" t="s">
        <v>11427</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12867</v>
      </c>
    </row>
    <row r="369" spans="1:2" x14ac:dyDescent="0.25">
      <c r="A369" s="57">
        <v>11131508</v>
      </c>
      <c r="B369" s="58" t="s">
        <v>10716</v>
      </c>
    </row>
    <row r="370" spans="1:2" x14ac:dyDescent="0.25">
      <c r="A370" s="57">
        <v>11131601</v>
      </c>
      <c r="B370" s="58" t="s">
        <v>13050</v>
      </c>
    </row>
    <row r="371" spans="1:2" x14ac:dyDescent="0.25">
      <c r="A371" s="57">
        <v>11131602</v>
      </c>
      <c r="B371" s="58" t="s">
        <v>13774</v>
      </c>
    </row>
    <row r="372" spans="1:2" x14ac:dyDescent="0.25">
      <c r="A372" s="57">
        <v>11131603</v>
      </c>
      <c r="B372" s="58" t="s">
        <v>7842</v>
      </c>
    </row>
    <row r="373" spans="1:2" x14ac:dyDescent="0.25">
      <c r="A373" s="57">
        <v>11131604</v>
      </c>
      <c r="B373" s="58" t="s">
        <v>5834</v>
      </c>
    </row>
    <row r="374" spans="1:2" x14ac:dyDescent="0.25">
      <c r="A374" s="57">
        <v>11131605</v>
      </c>
      <c r="B374" s="58" t="s">
        <v>12113</v>
      </c>
    </row>
    <row r="375" spans="1:2" x14ac:dyDescent="0.25">
      <c r="A375" s="57">
        <v>11131606</v>
      </c>
      <c r="B375" s="58" t="s">
        <v>2254</v>
      </c>
    </row>
    <row r="376" spans="1:2" x14ac:dyDescent="0.25">
      <c r="A376" s="57">
        <v>11131607</v>
      </c>
      <c r="B376" s="58" t="s">
        <v>4072</v>
      </c>
    </row>
    <row r="377" spans="1:2" x14ac:dyDescent="0.25">
      <c r="A377" s="57">
        <v>11131608</v>
      </c>
      <c r="B377" s="58" t="s">
        <v>9714</v>
      </c>
    </row>
    <row r="378" spans="1:2" x14ac:dyDescent="0.25">
      <c r="A378" s="57">
        <v>11141601</v>
      </c>
      <c r="B378" s="58" t="s">
        <v>7405</v>
      </c>
    </row>
    <row r="379" spans="1:2" x14ac:dyDescent="0.25">
      <c r="A379" s="57">
        <v>11141602</v>
      </c>
      <c r="B379" s="58" t="s">
        <v>13396</v>
      </c>
    </row>
    <row r="380" spans="1:2" x14ac:dyDescent="0.25">
      <c r="A380" s="57">
        <v>11141603</v>
      </c>
      <c r="B380" s="58" t="s">
        <v>3606</v>
      </c>
    </row>
    <row r="381" spans="1:2" x14ac:dyDescent="0.25">
      <c r="A381" s="57">
        <v>11141604</v>
      </c>
      <c r="B381" s="58" t="s">
        <v>12568</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10939</v>
      </c>
    </row>
    <row r="388" spans="1:2" x14ac:dyDescent="0.25">
      <c r="A388" s="57">
        <v>11141701</v>
      </c>
      <c r="B388" s="58" t="s">
        <v>7428</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12329</v>
      </c>
    </row>
    <row r="394" spans="1:2" x14ac:dyDescent="0.25">
      <c r="A394" s="57">
        <v>11151505</v>
      </c>
      <c r="B394" s="58" t="s">
        <v>11802</v>
      </c>
    </row>
    <row r="395" spans="1:2" x14ac:dyDescent="0.25">
      <c r="A395" s="57">
        <v>11151506</v>
      </c>
      <c r="B395" s="58" t="s">
        <v>15443</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13132</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13863</v>
      </c>
    </row>
    <row r="418" spans="1:2" x14ac:dyDescent="0.25">
      <c r="A418" s="57">
        <v>11151702</v>
      </c>
      <c r="B418" s="58" t="s">
        <v>16994</v>
      </c>
    </row>
    <row r="419" spans="1:2" x14ac:dyDescent="0.25">
      <c r="A419" s="57">
        <v>11151703</v>
      </c>
      <c r="B419" s="58" t="s">
        <v>10840</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13003</v>
      </c>
    </row>
    <row r="428" spans="1:2" x14ac:dyDescent="0.25">
      <c r="A428" s="57">
        <v>11151713</v>
      </c>
      <c r="B428" s="58" t="s">
        <v>11001</v>
      </c>
    </row>
    <row r="429" spans="1:2" x14ac:dyDescent="0.25">
      <c r="A429" s="57">
        <v>11151714</v>
      </c>
      <c r="B429" s="58" t="s">
        <v>11234</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13173</v>
      </c>
    </row>
    <row r="435" spans="1:2" x14ac:dyDescent="0.25">
      <c r="A435" s="57">
        <v>11161601</v>
      </c>
      <c r="B435" s="58" t="s">
        <v>8772</v>
      </c>
    </row>
    <row r="436" spans="1:2" x14ac:dyDescent="0.25">
      <c r="A436" s="57">
        <v>11161602</v>
      </c>
      <c r="B436" s="58" t="s">
        <v>10424</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17778</v>
      </c>
    </row>
    <row r="445" spans="1:2" x14ac:dyDescent="0.25">
      <c r="A445" s="57">
        <v>11161802</v>
      </c>
      <c r="B445" s="58" t="s">
        <v>4894</v>
      </c>
    </row>
    <row r="446" spans="1:2" x14ac:dyDescent="0.25">
      <c r="A446" s="57">
        <v>11161803</v>
      </c>
      <c r="B446" s="58" t="s">
        <v>16767</v>
      </c>
    </row>
    <row r="447" spans="1:2" x14ac:dyDescent="0.25">
      <c r="A447" s="57">
        <v>11161804</v>
      </c>
      <c r="B447" s="58" t="s">
        <v>9870</v>
      </c>
    </row>
    <row r="448" spans="1:2" x14ac:dyDescent="0.25">
      <c r="A448" s="57">
        <v>11161805</v>
      </c>
      <c r="B448" s="58" t="s">
        <v>14338</v>
      </c>
    </row>
    <row r="449" spans="1:2" x14ac:dyDescent="0.25">
      <c r="A449" s="57">
        <v>11162001</v>
      </c>
      <c r="B449" s="58" t="s">
        <v>16854</v>
      </c>
    </row>
    <row r="450" spans="1:2" x14ac:dyDescent="0.25">
      <c r="A450" s="57">
        <v>11162002</v>
      </c>
      <c r="B450" s="58" t="s">
        <v>13159</v>
      </c>
    </row>
    <row r="451" spans="1:2" x14ac:dyDescent="0.25">
      <c r="A451" s="57">
        <v>11162003</v>
      </c>
      <c r="B451" s="58" t="s">
        <v>7948</v>
      </c>
    </row>
    <row r="452" spans="1:2" x14ac:dyDescent="0.25">
      <c r="A452" s="57">
        <v>11162101</v>
      </c>
      <c r="B452" s="58" t="s">
        <v>1714</v>
      </c>
    </row>
    <row r="453" spans="1:2" x14ac:dyDescent="0.25">
      <c r="A453" s="57">
        <v>11162102</v>
      </c>
      <c r="B453" s="58" t="s">
        <v>11971</v>
      </c>
    </row>
    <row r="454" spans="1:2" x14ac:dyDescent="0.25">
      <c r="A454" s="57">
        <v>11162104</v>
      </c>
      <c r="B454" s="58" t="s">
        <v>9939</v>
      </c>
    </row>
    <row r="455" spans="1:2" x14ac:dyDescent="0.25">
      <c r="A455" s="57">
        <v>11162105</v>
      </c>
      <c r="B455" s="58" t="s">
        <v>2904</v>
      </c>
    </row>
    <row r="456" spans="1:2" x14ac:dyDescent="0.25">
      <c r="A456" s="57">
        <v>11162107</v>
      </c>
      <c r="B456" s="58" t="s">
        <v>12018</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13462</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12337</v>
      </c>
    </row>
    <row r="467" spans="1:2" x14ac:dyDescent="0.25">
      <c r="A467" s="57">
        <v>11162118</v>
      </c>
      <c r="B467" s="58" t="s">
        <v>10793</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11152</v>
      </c>
    </row>
    <row r="472" spans="1:2" x14ac:dyDescent="0.25">
      <c r="A472" s="57">
        <v>11162123</v>
      </c>
      <c r="B472" s="58" t="s">
        <v>6870</v>
      </c>
    </row>
    <row r="473" spans="1:2" x14ac:dyDescent="0.25">
      <c r="A473" s="57">
        <v>11162124</v>
      </c>
      <c r="B473" s="58" t="s">
        <v>11866</v>
      </c>
    </row>
    <row r="474" spans="1:2" x14ac:dyDescent="0.25">
      <c r="A474" s="57">
        <v>11162125</v>
      </c>
      <c r="B474" s="58" t="s">
        <v>13648</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12750</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11165</v>
      </c>
    </row>
    <row r="499" spans="1:2" x14ac:dyDescent="0.25">
      <c r="A499" s="57">
        <v>11171702</v>
      </c>
      <c r="B499" s="58" t="s">
        <v>7642</v>
      </c>
    </row>
    <row r="500" spans="1:2" x14ac:dyDescent="0.25">
      <c r="A500" s="57">
        <v>11171801</v>
      </c>
      <c r="B500" s="58" t="s">
        <v>7546</v>
      </c>
    </row>
    <row r="501" spans="1:2" x14ac:dyDescent="0.25">
      <c r="A501" s="57">
        <v>11171901</v>
      </c>
      <c r="B501" s="58" t="s">
        <v>12657</v>
      </c>
    </row>
    <row r="502" spans="1:2" x14ac:dyDescent="0.25">
      <c r="A502" s="57">
        <v>11172001</v>
      </c>
      <c r="B502" s="58" t="s">
        <v>2611</v>
      </c>
    </row>
    <row r="503" spans="1:2" x14ac:dyDescent="0.25">
      <c r="A503" s="57">
        <v>11172101</v>
      </c>
      <c r="B503" s="58" t="s">
        <v>12959</v>
      </c>
    </row>
    <row r="504" spans="1:2" x14ac:dyDescent="0.25">
      <c r="A504" s="57">
        <v>11181501</v>
      </c>
      <c r="B504" s="58" t="s">
        <v>17302</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12879</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18729</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11747</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12772</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13135</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14582</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11987</v>
      </c>
    </row>
    <row r="581" spans="1:2" x14ac:dyDescent="0.25">
      <c r="A581" s="57">
        <v>12141714</v>
      </c>
      <c r="B581" s="58" t="s">
        <v>9898</v>
      </c>
    </row>
    <row r="582" spans="1:2" x14ac:dyDescent="0.25">
      <c r="A582" s="57">
        <v>12141715</v>
      </c>
      <c r="B582" s="58" t="s">
        <v>4878</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13172</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12490</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13193</v>
      </c>
    </row>
    <row r="603" spans="1:2" x14ac:dyDescent="0.25">
      <c r="A603" s="57">
        <v>12141736</v>
      </c>
      <c r="B603" s="58" t="s">
        <v>10000</v>
      </c>
    </row>
    <row r="604" spans="1:2" x14ac:dyDescent="0.25">
      <c r="A604" s="57">
        <v>12141737</v>
      </c>
      <c r="B604" s="58" t="s">
        <v>5189</v>
      </c>
    </row>
    <row r="605" spans="1:2" x14ac:dyDescent="0.25">
      <c r="A605" s="57">
        <v>12141738</v>
      </c>
      <c r="B605" s="58" t="s">
        <v>9395</v>
      </c>
    </row>
    <row r="606" spans="1:2" x14ac:dyDescent="0.25">
      <c r="A606" s="57">
        <v>12141739</v>
      </c>
      <c r="B606" s="58" t="s">
        <v>13386</v>
      </c>
    </row>
    <row r="607" spans="1:2" x14ac:dyDescent="0.25">
      <c r="A607" s="57">
        <v>12141740</v>
      </c>
      <c r="B607" s="58" t="s">
        <v>5923</v>
      </c>
    </row>
    <row r="608" spans="1:2" x14ac:dyDescent="0.25">
      <c r="A608" s="57">
        <v>12141741</v>
      </c>
      <c r="B608" s="58" t="s">
        <v>4893</v>
      </c>
    </row>
    <row r="609" spans="1:2" x14ac:dyDescent="0.25">
      <c r="A609" s="57">
        <v>12141742</v>
      </c>
      <c r="B609" s="58" t="s">
        <v>9678</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11206</v>
      </c>
    </row>
    <row r="614" spans="1:2" x14ac:dyDescent="0.25">
      <c r="A614" s="57">
        <v>12141747</v>
      </c>
      <c r="B614" s="58" t="s">
        <v>4505</v>
      </c>
    </row>
    <row r="615" spans="1:2" x14ac:dyDescent="0.25">
      <c r="A615" s="57">
        <v>12141748</v>
      </c>
      <c r="B615" s="58" t="s">
        <v>13204</v>
      </c>
    </row>
    <row r="616" spans="1:2" x14ac:dyDescent="0.25">
      <c r="A616" s="57">
        <v>12141749</v>
      </c>
      <c r="B616" s="58" t="s">
        <v>17039</v>
      </c>
    </row>
    <row r="617" spans="1:2" x14ac:dyDescent="0.25">
      <c r="A617" s="57">
        <v>12141750</v>
      </c>
      <c r="B617" s="58" t="s">
        <v>7789</v>
      </c>
    </row>
    <row r="618" spans="1:2" x14ac:dyDescent="0.25">
      <c r="A618" s="57">
        <v>12141751</v>
      </c>
      <c r="B618" s="58" t="s">
        <v>10466</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10350</v>
      </c>
    </row>
    <row r="626" spans="1:2" x14ac:dyDescent="0.25">
      <c r="A626" s="57">
        <v>12141759</v>
      </c>
      <c r="B626" s="58" t="s">
        <v>10557</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12832</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13043</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17524</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9683</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12818</v>
      </c>
    </row>
    <row r="674" spans="1:2" x14ac:dyDescent="0.25">
      <c r="A674" s="57">
        <v>12161505</v>
      </c>
      <c r="B674" s="58" t="s">
        <v>16328</v>
      </c>
    </row>
    <row r="675" spans="1:2" x14ac:dyDescent="0.25">
      <c r="A675" s="57">
        <v>12161506</v>
      </c>
      <c r="B675" s="58" t="s">
        <v>16463</v>
      </c>
    </row>
    <row r="676" spans="1:2" x14ac:dyDescent="0.25">
      <c r="A676" s="57">
        <v>12161507</v>
      </c>
      <c r="B676" s="58" t="s">
        <v>12731</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12048</v>
      </c>
    </row>
    <row r="681" spans="1:2" x14ac:dyDescent="0.25">
      <c r="A681" s="57">
        <v>12161701</v>
      </c>
      <c r="B681" s="58" t="s">
        <v>5228</v>
      </c>
    </row>
    <row r="682" spans="1:2" x14ac:dyDescent="0.25">
      <c r="A682" s="57">
        <v>12161702</v>
      </c>
      <c r="B682" s="58" t="s">
        <v>5435</v>
      </c>
    </row>
    <row r="683" spans="1:2" x14ac:dyDescent="0.25">
      <c r="A683" s="57">
        <v>12161703</v>
      </c>
      <c r="B683" s="58" t="s">
        <v>11324</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9865</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12053</v>
      </c>
    </row>
    <row r="695" spans="1:2" x14ac:dyDescent="0.25">
      <c r="A695" s="57">
        <v>12161901</v>
      </c>
      <c r="B695" s="58" t="s">
        <v>17313</v>
      </c>
    </row>
    <row r="696" spans="1:2" x14ac:dyDescent="0.25">
      <c r="A696" s="57">
        <v>12161902</v>
      </c>
      <c r="B696" s="58" t="s">
        <v>5208</v>
      </c>
    </row>
    <row r="697" spans="1:2" x14ac:dyDescent="0.25">
      <c r="A697" s="57">
        <v>12161903</v>
      </c>
      <c r="B697" s="58" t="s">
        <v>8513</v>
      </c>
    </row>
    <row r="698" spans="1:2" x14ac:dyDescent="0.25">
      <c r="A698" s="57">
        <v>12161904</v>
      </c>
      <c r="B698" s="58" t="s">
        <v>17439</v>
      </c>
    </row>
    <row r="699" spans="1:2" x14ac:dyDescent="0.25">
      <c r="A699" s="57">
        <v>12161905</v>
      </c>
      <c r="B699" s="58" t="s">
        <v>13766</v>
      </c>
    </row>
    <row r="700" spans="1:2" x14ac:dyDescent="0.25">
      <c r="A700" s="57">
        <v>12161906</v>
      </c>
      <c r="B700" s="58" t="s">
        <v>12647</v>
      </c>
    </row>
    <row r="701" spans="1:2" x14ac:dyDescent="0.25">
      <c r="A701" s="57">
        <v>12161907</v>
      </c>
      <c r="B701" s="58" t="s">
        <v>10814</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11143</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11634</v>
      </c>
    </row>
    <row r="714" spans="1:2" x14ac:dyDescent="0.25">
      <c r="A714" s="57">
        <v>12162208</v>
      </c>
      <c r="B714" s="58" t="s">
        <v>14756</v>
      </c>
    </row>
    <row r="715" spans="1:2" x14ac:dyDescent="0.25">
      <c r="A715" s="57">
        <v>12162209</v>
      </c>
      <c r="B715" s="58" t="s">
        <v>7947</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15151</v>
      </c>
    </row>
    <row r="720" spans="1:2" x14ac:dyDescent="0.25">
      <c r="A720" s="57">
        <v>12162302</v>
      </c>
      <c r="B720" s="58" t="s">
        <v>6233</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13790</v>
      </c>
    </row>
    <row r="725" spans="1:2" x14ac:dyDescent="0.25">
      <c r="A725" s="57">
        <v>12162502</v>
      </c>
      <c r="B725" s="58" t="s">
        <v>10634</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6091</v>
      </c>
    </row>
    <row r="738" spans="1:2" x14ac:dyDescent="0.25">
      <c r="A738" s="57">
        <v>12163201</v>
      </c>
      <c r="B738" s="58" t="s">
        <v>3241</v>
      </c>
    </row>
    <row r="739" spans="1:2" x14ac:dyDescent="0.25">
      <c r="A739" s="57">
        <v>12163301</v>
      </c>
      <c r="B739" s="58" t="s">
        <v>4903</v>
      </c>
    </row>
    <row r="740" spans="1:2" x14ac:dyDescent="0.25">
      <c r="A740" s="57">
        <v>12163401</v>
      </c>
      <c r="B740" s="58" t="s">
        <v>9706</v>
      </c>
    </row>
    <row r="741" spans="1:2" x14ac:dyDescent="0.25">
      <c r="A741" s="57">
        <v>12163501</v>
      </c>
      <c r="B741" s="58" t="s">
        <v>7477</v>
      </c>
    </row>
    <row r="742" spans="1:2" x14ac:dyDescent="0.25">
      <c r="A742" s="57">
        <v>12163601</v>
      </c>
      <c r="B742" s="58" t="s">
        <v>14132</v>
      </c>
    </row>
    <row r="743" spans="1:2" x14ac:dyDescent="0.25">
      <c r="A743" s="57">
        <v>12163602</v>
      </c>
      <c r="B743" s="58" t="s">
        <v>11155</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13258</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13004</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12500</v>
      </c>
    </row>
    <row r="761" spans="1:2" x14ac:dyDescent="0.25">
      <c r="A761" s="57">
        <v>12171503</v>
      </c>
      <c r="B761" s="58" t="s">
        <v>5606</v>
      </c>
    </row>
    <row r="762" spans="1:2" x14ac:dyDescent="0.25">
      <c r="A762" s="57">
        <v>12171504</v>
      </c>
      <c r="B762" s="58" t="s">
        <v>9695</v>
      </c>
    </row>
    <row r="763" spans="1:2" x14ac:dyDescent="0.25">
      <c r="A763" s="57">
        <v>12171505</v>
      </c>
      <c r="B763" s="58" t="s">
        <v>10223</v>
      </c>
    </row>
    <row r="764" spans="1:2" x14ac:dyDescent="0.25">
      <c r="A764" s="57">
        <v>12171506</v>
      </c>
      <c r="B764" s="58" t="s">
        <v>237</v>
      </c>
    </row>
    <row r="765" spans="1:2" x14ac:dyDescent="0.25">
      <c r="A765" s="57">
        <v>12171602</v>
      </c>
      <c r="B765" s="58" t="s">
        <v>11037</v>
      </c>
    </row>
    <row r="766" spans="1:2" x14ac:dyDescent="0.25">
      <c r="A766" s="57">
        <v>12171603</v>
      </c>
      <c r="B766" s="58" t="s">
        <v>5912</v>
      </c>
    </row>
    <row r="767" spans="1:2" x14ac:dyDescent="0.25">
      <c r="A767" s="57">
        <v>12171604</v>
      </c>
      <c r="B767" s="58" t="s">
        <v>4762</v>
      </c>
    </row>
    <row r="768" spans="1:2" x14ac:dyDescent="0.25">
      <c r="A768" s="57">
        <v>12171605</v>
      </c>
      <c r="B768" s="58" t="s">
        <v>7751</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9731</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6267</v>
      </c>
    </row>
    <row r="795" spans="1:2" x14ac:dyDescent="0.25">
      <c r="A795" s="57">
        <v>12352108</v>
      </c>
      <c r="B795" s="58" t="s">
        <v>12224</v>
      </c>
    </row>
    <row r="796" spans="1:2" x14ac:dyDescent="0.25">
      <c r="A796" s="57">
        <v>12352111</v>
      </c>
      <c r="B796" s="58" t="s">
        <v>8054</v>
      </c>
    </row>
    <row r="797" spans="1:2" x14ac:dyDescent="0.25">
      <c r="A797" s="57">
        <v>12352112</v>
      </c>
      <c r="B797" s="58" t="s">
        <v>12224</v>
      </c>
    </row>
    <row r="798" spans="1:2" x14ac:dyDescent="0.25">
      <c r="A798" s="57">
        <v>12352113</v>
      </c>
      <c r="B798" s="58" t="s">
        <v>18634</v>
      </c>
    </row>
    <row r="799" spans="1:2" x14ac:dyDescent="0.25">
      <c r="A799" s="57">
        <v>12352114</v>
      </c>
      <c r="B799" s="58" t="s">
        <v>3377</v>
      </c>
    </row>
    <row r="800" spans="1:2" x14ac:dyDescent="0.25">
      <c r="A800" s="57">
        <v>12352115</v>
      </c>
      <c r="B800" s="58" t="s">
        <v>10512</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11645</v>
      </c>
    </row>
    <row r="806" spans="1:2" x14ac:dyDescent="0.25">
      <c r="A806" s="57">
        <v>12352121</v>
      </c>
      <c r="B806" s="58" t="s">
        <v>10784</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12278</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11713</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12567</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8976</v>
      </c>
    </row>
    <row r="838" spans="1:2" x14ac:dyDescent="0.25">
      <c r="A838" s="57">
        <v>12352312</v>
      </c>
      <c r="B838" s="58" t="s">
        <v>4789</v>
      </c>
    </row>
    <row r="839" spans="1:2" x14ac:dyDescent="0.25">
      <c r="A839" s="57">
        <v>12352401</v>
      </c>
      <c r="B839" s="58" t="s">
        <v>12640</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11113</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10477</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18141</v>
      </c>
    </row>
    <row r="858" spans="1:2" x14ac:dyDescent="0.25">
      <c r="A858" s="57">
        <v>13101703</v>
      </c>
      <c r="B858" s="58" t="s">
        <v>13157</v>
      </c>
    </row>
    <row r="859" spans="1:2" x14ac:dyDescent="0.25">
      <c r="A859" s="57">
        <v>13101704</v>
      </c>
      <c r="B859" s="58" t="s">
        <v>14942</v>
      </c>
    </row>
    <row r="860" spans="1:2" x14ac:dyDescent="0.25">
      <c r="A860" s="57">
        <v>13101705</v>
      </c>
      <c r="B860" s="58" t="s">
        <v>12698</v>
      </c>
    </row>
    <row r="861" spans="1:2" x14ac:dyDescent="0.25">
      <c r="A861" s="57">
        <v>13101706</v>
      </c>
      <c r="B861" s="58" t="s">
        <v>9280</v>
      </c>
    </row>
    <row r="862" spans="1:2" x14ac:dyDescent="0.25">
      <c r="A862" s="57">
        <v>13101707</v>
      </c>
      <c r="B862" s="58" t="s">
        <v>7033</v>
      </c>
    </row>
    <row r="863" spans="1:2" x14ac:dyDescent="0.25">
      <c r="A863" s="57">
        <v>13101708</v>
      </c>
      <c r="B863" s="58" t="s">
        <v>10897</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12267</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10148</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15614</v>
      </c>
    </row>
    <row r="878" spans="1:2" x14ac:dyDescent="0.25">
      <c r="A878" s="57">
        <v>13101723</v>
      </c>
      <c r="B878" s="58" t="s">
        <v>1572</v>
      </c>
    </row>
    <row r="879" spans="1:2" x14ac:dyDescent="0.25">
      <c r="A879" s="57">
        <v>13101724</v>
      </c>
      <c r="B879" s="58" t="s">
        <v>14646</v>
      </c>
    </row>
    <row r="880" spans="1:2" x14ac:dyDescent="0.25">
      <c r="A880" s="57">
        <v>13101902</v>
      </c>
      <c r="B880" s="58" t="s">
        <v>10990</v>
      </c>
    </row>
    <row r="881" spans="1:2" x14ac:dyDescent="0.25">
      <c r="A881" s="57">
        <v>13101903</v>
      </c>
      <c r="B881" s="58" t="s">
        <v>18529</v>
      </c>
    </row>
    <row r="882" spans="1:2" x14ac:dyDescent="0.25">
      <c r="A882" s="57">
        <v>13101904</v>
      </c>
      <c r="B882" s="58" t="s">
        <v>17567</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11654</v>
      </c>
    </row>
    <row r="888" spans="1:2" x14ac:dyDescent="0.25">
      <c r="A888" s="57">
        <v>13102005</v>
      </c>
      <c r="B888" s="58" t="s">
        <v>10404</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11746</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10071</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11791</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12645</v>
      </c>
    </row>
    <row r="919" spans="1:2" x14ac:dyDescent="0.25">
      <c r="A919" s="57">
        <v>13111006</v>
      </c>
      <c r="B919" s="58" t="s">
        <v>6954</v>
      </c>
    </row>
    <row r="920" spans="1:2" x14ac:dyDescent="0.25">
      <c r="A920" s="57">
        <v>13111007</v>
      </c>
      <c r="B920" s="58" t="s">
        <v>8337</v>
      </c>
    </row>
    <row r="921" spans="1:2" x14ac:dyDescent="0.25">
      <c r="A921" s="57">
        <v>13111008</v>
      </c>
      <c r="B921" s="58" t="s">
        <v>12390</v>
      </c>
    </row>
    <row r="922" spans="1:2" x14ac:dyDescent="0.25">
      <c r="A922" s="57">
        <v>13111009</v>
      </c>
      <c r="B922" s="58" t="s">
        <v>10317</v>
      </c>
    </row>
    <row r="923" spans="1:2" x14ac:dyDescent="0.25">
      <c r="A923" s="57">
        <v>13111010</v>
      </c>
      <c r="B923" s="58" t="s">
        <v>15415</v>
      </c>
    </row>
    <row r="924" spans="1:2" x14ac:dyDescent="0.25">
      <c r="A924" s="57">
        <v>13111011</v>
      </c>
      <c r="B924" s="58" t="s">
        <v>9101</v>
      </c>
    </row>
    <row r="925" spans="1:2" x14ac:dyDescent="0.25">
      <c r="A925" s="57">
        <v>13111012</v>
      </c>
      <c r="B925" s="58" t="s">
        <v>10708</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11109</v>
      </c>
    </row>
    <row r="931" spans="1:2" x14ac:dyDescent="0.25">
      <c r="A931" s="57">
        <v>13111018</v>
      </c>
      <c r="B931" s="58" t="s">
        <v>13775</v>
      </c>
    </row>
    <row r="932" spans="1:2" x14ac:dyDescent="0.25">
      <c r="A932" s="57">
        <v>13111019</v>
      </c>
      <c r="B932" s="58" t="s">
        <v>1378</v>
      </c>
    </row>
    <row r="933" spans="1:2" x14ac:dyDescent="0.25">
      <c r="A933" s="57">
        <v>13111020</v>
      </c>
      <c r="B933" s="58" t="s">
        <v>4287</v>
      </c>
    </row>
    <row r="934" spans="1:2" x14ac:dyDescent="0.25">
      <c r="A934" s="57">
        <v>13111021</v>
      </c>
      <c r="B934" s="58" t="s">
        <v>12509</v>
      </c>
    </row>
    <row r="935" spans="1:2" x14ac:dyDescent="0.25">
      <c r="A935" s="57">
        <v>13111022</v>
      </c>
      <c r="B935" s="58" t="s">
        <v>12650</v>
      </c>
    </row>
    <row r="936" spans="1:2" x14ac:dyDescent="0.25">
      <c r="A936" s="57">
        <v>13111023</v>
      </c>
      <c r="B936" s="58" t="s">
        <v>17236</v>
      </c>
    </row>
    <row r="937" spans="1:2" x14ac:dyDescent="0.25">
      <c r="A937" s="57">
        <v>13111024</v>
      </c>
      <c r="B937" s="58" t="s">
        <v>15067</v>
      </c>
    </row>
    <row r="938" spans="1:2" x14ac:dyDescent="0.25">
      <c r="A938" s="57">
        <v>13111025</v>
      </c>
      <c r="B938" s="58" t="s">
        <v>2812</v>
      </c>
    </row>
    <row r="939" spans="1:2" x14ac:dyDescent="0.25">
      <c r="A939" s="57">
        <v>13111026</v>
      </c>
      <c r="B939" s="58" t="s">
        <v>12945</v>
      </c>
    </row>
    <row r="940" spans="1:2" x14ac:dyDescent="0.25">
      <c r="A940" s="57">
        <v>13111027</v>
      </c>
      <c r="B940" s="58" t="s">
        <v>9209</v>
      </c>
    </row>
    <row r="941" spans="1:2" x14ac:dyDescent="0.25">
      <c r="A941" s="57">
        <v>13111028</v>
      </c>
      <c r="B941" s="58" t="s">
        <v>4016</v>
      </c>
    </row>
    <row r="942" spans="1:2" x14ac:dyDescent="0.25">
      <c r="A942" s="57">
        <v>13111029</v>
      </c>
      <c r="B942" s="58" t="s">
        <v>14475</v>
      </c>
    </row>
    <row r="943" spans="1:2" x14ac:dyDescent="0.25">
      <c r="A943" s="57">
        <v>13111030</v>
      </c>
      <c r="B943" s="58" t="s">
        <v>7999</v>
      </c>
    </row>
    <row r="944" spans="1:2" x14ac:dyDescent="0.25">
      <c r="A944" s="57">
        <v>13111031</v>
      </c>
      <c r="B944" s="58" t="s">
        <v>11631</v>
      </c>
    </row>
    <row r="945" spans="1:2" x14ac:dyDescent="0.25">
      <c r="A945" s="57">
        <v>13111032</v>
      </c>
      <c r="B945" s="58" t="s">
        <v>18333</v>
      </c>
    </row>
    <row r="946" spans="1:2" x14ac:dyDescent="0.25">
      <c r="A946" s="57">
        <v>13111033</v>
      </c>
      <c r="B946" s="58" t="s">
        <v>15410</v>
      </c>
    </row>
    <row r="947" spans="1:2" x14ac:dyDescent="0.25">
      <c r="A947" s="57">
        <v>13111034</v>
      </c>
      <c r="B947" s="58" t="s">
        <v>12128</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12190</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12898</v>
      </c>
    </row>
    <row r="959" spans="1:2" x14ac:dyDescent="0.25">
      <c r="A959" s="57">
        <v>13111046</v>
      </c>
      <c r="B959" s="58" t="s">
        <v>11965</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12229</v>
      </c>
    </row>
    <row r="967" spans="1:2" x14ac:dyDescent="0.25">
      <c r="A967" s="57">
        <v>13111054</v>
      </c>
      <c r="B967" s="58" t="s">
        <v>11599</v>
      </c>
    </row>
    <row r="968" spans="1:2" x14ac:dyDescent="0.25">
      <c r="A968" s="57">
        <v>13111055</v>
      </c>
      <c r="B968" s="58" t="s">
        <v>16068</v>
      </c>
    </row>
    <row r="969" spans="1:2" x14ac:dyDescent="0.25">
      <c r="A969" s="57">
        <v>13111056</v>
      </c>
      <c r="B969" s="58" t="s">
        <v>12841</v>
      </c>
    </row>
    <row r="970" spans="1:2" x14ac:dyDescent="0.25">
      <c r="A970" s="57">
        <v>13111057</v>
      </c>
      <c r="B970" s="58" t="s">
        <v>12797</v>
      </c>
    </row>
    <row r="971" spans="1:2" x14ac:dyDescent="0.25">
      <c r="A971" s="57">
        <v>13111058</v>
      </c>
      <c r="B971" s="58" t="s">
        <v>10070</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11682</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5880</v>
      </c>
    </row>
    <row r="983" spans="1:2" x14ac:dyDescent="0.25">
      <c r="A983" s="57">
        <v>13111201</v>
      </c>
      <c r="B983" s="58" t="s">
        <v>1188</v>
      </c>
    </row>
    <row r="984" spans="1:2" x14ac:dyDescent="0.25">
      <c r="A984" s="57">
        <v>13111202</v>
      </c>
      <c r="B984" s="58" t="s">
        <v>10369</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10267</v>
      </c>
    </row>
    <row r="995" spans="1:2" x14ac:dyDescent="0.25">
      <c r="A995" s="57">
        <v>13111213</v>
      </c>
      <c r="B995" s="58" t="s">
        <v>15256</v>
      </c>
    </row>
    <row r="996" spans="1:2" x14ac:dyDescent="0.25">
      <c r="A996" s="57">
        <v>13111214</v>
      </c>
      <c r="B996" s="58" t="s">
        <v>11139</v>
      </c>
    </row>
    <row r="997" spans="1:2" x14ac:dyDescent="0.25">
      <c r="A997" s="57">
        <v>13111215</v>
      </c>
      <c r="B997" s="58" t="s">
        <v>6046</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10113</v>
      </c>
    </row>
    <row r="1006" spans="1:2" x14ac:dyDescent="0.25">
      <c r="A1006" s="57">
        <v>13111304</v>
      </c>
      <c r="B1006" s="58" t="s">
        <v>7908</v>
      </c>
    </row>
    <row r="1007" spans="1:2" x14ac:dyDescent="0.25">
      <c r="A1007" s="57">
        <v>13111305</v>
      </c>
      <c r="B1007" s="58" t="s">
        <v>14407</v>
      </c>
    </row>
    <row r="1008" spans="1:2" x14ac:dyDescent="0.25">
      <c r="A1008" s="57">
        <v>13111306</v>
      </c>
      <c r="B1008" s="58" t="s">
        <v>18179</v>
      </c>
    </row>
    <row r="1009" spans="1:2" x14ac:dyDescent="0.25">
      <c r="A1009" s="57">
        <v>13111307</v>
      </c>
      <c r="B1009" s="58" t="s">
        <v>16238</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11290</v>
      </c>
    </row>
    <row r="1022" spans="1:2" x14ac:dyDescent="0.25">
      <c r="A1022" s="57">
        <v>14111511</v>
      </c>
      <c r="B1022" s="58" t="s">
        <v>9433</v>
      </c>
    </row>
    <row r="1023" spans="1:2" x14ac:dyDescent="0.25">
      <c r="A1023" s="57">
        <v>14111512</v>
      </c>
      <c r="B1023" s="58" t="s">
        <v>13195</v>
      </c>
    </row>
    <row r="1024" spans="1:2" x14ac:dyDescent="0.25">
      <c r="A1024" s="57">
        <v>14111513</v>
      </c>
      <c r="B1024" s="58" t="s">
        <v>14716</v>
      </c>
    </row>
    <row r="1025" spans="1:2" x14ac:dyDescent="0.25">
      <c r="A1025" s="57">
        <v>14111514</v>
      </c>
      <c r="B1025" s="58" t="s">
        <v>11350</v>
      </c>
    </row>
    <row r="1026" spans="1:2" x14ac:dyDescent="0.25">
      <c r="A1026" s="57">
        <v>14111515</v>
      </c>
      <c r="B1026" s="58" t="s">
        <v>13908</v>
      </c>
    </row>
    <row r="1027" spans="1:2" x14ac:dyDescent="0.25">
      <c r="A1027" s="57">
        <v>14111516</v>
      </c>
      <c r="B1027" s="58" t="s">
        <v>6176</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12805</v>
      </c>
    </row>
    <row r="1035" spans="1:2" x14ac:dyDescent="0.25">
      <c r="A1035" s="57">
        <v>14111527</v>
      </c>
      <c r="B1035" s="58" t="s">
        <v>10707</v>
      </c>
    </row>
    <row r="1036" spans="1:2" x14ac:dyDescent="0.25">
      <c r="A1036" s="57">
        <v>14111528</v>
      </c>
      <c r="B1036" s="58" t="s">
        <v>15169</v>
      </c>
    </row>
    <row r="1037" spans="1:2" x14ac:dyDescent="0.25">
      <c r="A1037" s="57">
        <v>14111529</v>
      </c>
      <c r="B1037" s="58" t="s">
        <v>6005</v>
      </c>
    </row>
    <row r="1038" spans="1:2" x14ac:dyDescent="0.25">
      <c r="A1038" s="57">
        <v>14111530</v>
      </c>
      <c r="B1038" s="58" t="s">
        <v>8632</v>
      </c>
    </row>
    <row r="1039" spans="1:2" x14ac:dyDescent="0.25">
      <c r="A1039" s="57">
        <v>14111531</v>
      </c>
      <c r="B1039" s="58" t="s">
        <v>12166</v>
      </c>
    </row>
    <row r="1040" spans="1:2" x14ac:dyDescent="0.25">
      <c r="A1040" s="57">
        <v>14111532</v>
      </c>
      <c r="B1040" s="58" t="s">
        <v>12227</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11365</v>
      </c>
    </row>
    <row r="1049" spans="1:2" x14ac:dyDescent="0.25">
      <c r="A1049" s="57">
        <v>14111606</v>
      </c>
      <c r="B1049" s="58" t="s">
        <v>4097</v>
      </c>
    </row>
    <row r="1050" spans="1:2" x14ac:dyDescent="0.25">
      <c r="A1050" s="57">
        <v>14111607</v>
      </c>
      <c r="B1050" s="58" t="s">
        <v>9995</v>
      </c>
    </row>
    <row r="1051" spans="1:2" x14ac:dyDescent="0.25">
      <c r="A1051" s="57">
        <v>14111608</v>
      </c>
      <c r="B1051" s="58" t="s">
        <v>11863</v>
      </c>
    </row>
    <row r="1052" spans="1:2" x14ac:dyDescent="0.25">
      <c r="A1052" s="57">
        <v>14111609</v>
      </c>
      <c r="B1052" s="58" t="s">
        <v>10928</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10585</v>
      </c>
    </row>
    <row r="1057" spans="1:2" x14ac:dyDescent="0.25">
      <c r="A1057" s="57">
        <v>14111615</v>
      </c>
      <c r="B1057" s="58" t="s">
        <v>371</v>
      </c>
    </row>
    <row r="1058" spans="1:2" x14ac:dyDescent="0.25">
      <c r="A1058" s="57">
        <v>14111616</v>
      </c>
      <c r="B1058" s="58" t="s">
        <v>17983</v>
      </c>
    </row>
    <row r="1059" spans="1:2" x14ac:dyDescent="0.25">
      <c r="A1059" s="57">
        <v>14111701</v>
      </c>
      <c r="B1059" s="58" t="s">
        <v>13058</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11532</v>
      </c>
    </row>
    <row r="1066" spans="1:2" x14ac:dyDescent="0.25">
      <c r="A1066" s="57">
        <v>14111802</v>
      </c>
      <c r="B1066" s="58" t="s">
        <v>5546</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12065</v>
      </c>
    </row>
    <row r="1072" spans="1:2" x14ac:dyDescent="0.25">
      <c r="A1072" s="57">
        <v>14111808</v>
      </c>
      <c r="B1072" s="58" t="s">
        <v>17413</v>
      </c>
    </row>
    <row r="1073" spans="1:2" x14ac:dyDescent="0.25">
      <c r="A1073" s="57">
        <v>14111809</v>
      </c>
      <c r="B1073" s="58" t="s">
        <v>14893</v>
      </c>
    </row>
    <row r="1074" spans="1:2" x14ac:dyDescent="0.25">
      <c r="A1074" s="57">
        <v>14111810</v>
      </c>
      <c r="B1074" s="58" t="s">
        <v>12368</v>
      </c>
    </row>
    <row r="1075" spans="1:2" x14ac:dyDescent="0.25">
      <c r="A1075" s="57">
        <v>14111811</v>
      </c>
      <c r="B1075" s="58" t="s">
        <v>18108</v>
      </c>
    </row>
    <row r="1076" spans="1:2" x14ac:dyDescent="0.25">
      <c r="A1076" s="57">
        <v>14111812</v>
      </c>
      <c r="B1076" s="58" t="s">
        <v>10302</v>
      </c>
    </row>
    <row r="1077" spans="1:2" x14ac:dyDescent="0.25">
      <c r="A1077" s="57">
        <v>14111813</v>
      </c>
      <c r="B1077" s="58" t="s">
        <v>10244</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13021</v>
      </c>
    </row>
    <row r="1083" spans="1:2" x14ac:dyDescent="0.25">
      <c r="A1083" s="57">
        <v>14121502</v>
      </c>
      <c r="B1083" s="58" t="s">
        <v>2346</v>
      </c>
    </row>
    <row r="1084" spans="1:2" x14ac:dyDescent="0.25">
      <c r="A1084" s="57">
        <v>14121503</v>
      </c>
      <c r="B1084" s="58" t="s">
        <v>8079</v>
      </c>
    </row>
    <row r="1085" spans="1:2" x14ac:dyDescent="0.25">
      <c r="A1085" s="57">
        <v>14121504</v>
      </c>
      <c r="B1085" s="58" t="s">
        <v>11349</v>
      </c>
    </row>
    <row r="1086" spans="1:2" x14ac:dyDescent="0.25">
      <c r="A1086" s="57">
        <v>14121505</v>
      </c>
      <c r="B1086" s="58" t="s">
        <v>13605</v>
      </c>
    </row>
    <row r="1087" spans="1:2" x14ac:dyDescent="0.25">
      <c r="A1087" s="57">
        <v>14121601</v>
      </c>
      <c r="B1087" s="58" t="s">
        <v>15133</v>
      </c>
    </row>
    <row r="1088" spans="1:2" x14ac:dyDescent="0.25">
      <c r="A1088" s="57">
        <v>14121602</v>
      </c>
      <c r="B1088" s="58" t="s">
        <v>11236</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14015</v>
      </c>
    </row>
    <row r="1094" spans="1:2" x14ac:dyDescent="0.25">
      <c r="A1094" s="57">
        <v>14121801</v>
      </c>
      <c r="B1094" s="58" t="s">
        <v>8131</v>
      </c>
    </row>
    <row r="1095" spans="1:2" x14ac:dyDescent="0.25">
      <c r="A1095" s="57">
        <v>14121802</v>
      </c>
      <c r="B1095" s="58" t="s">
        <v>9177</v>
      </c>
    </row>
    <row r="1096" spans="1:2" x14ac:dyDescent="0.25">
      <c r="A1096" s="57">
        <v>14121803</v>
      </c>
      <c r="B1096" s="58" t="s">
        <v>18084</v>
      </c>
    </row>
    <row r="1097" spans="1:2" x14ac:dyDescent="0.25">
      <c r="A1097" s="57">
        <v>14121804</v>
      </c>
      <c r="B1097" s="58" t="s">
        <v>14357</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13001</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10205</v>
      </c>
    </row>
    <row r="1115" spans="1:2" x14ac:dyDescent="0.25">
      <c r="A1115" s="57">
        <v>14122105</v>
      </c>
      <c r="B1115" s="58" t="s">
        <v>16643</v>
      </c>
    </row>
    <row r="1116" spans="1:2" x14ac:dyDescent="0.25">
      <c r="A1116" s="57">
        <v>14122106</v>
      </c>
      <c r="B1116" s="58" t="s">
        <v>14076</v>
      </c>
    </row>
    <row r="1117" spans="1:2" x14ac:dyDescent="0.25">
      <c r="A1117" s="57">
        <v>14122201</v>
      </c>
      <c r="B1117" s="58" t="s">
        <v>10290</v>
      </c>
    </row>
    <row r="1118" spans="1:2" x14ac:dyDescent="0.25">
      <c r="A1118" s="57">
        <v>15101502</v>
      </c>
      <c r="B1118" s="58" t="s">
        <v>14298</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12682</v>
      </c>
    </row>
    <row r="1124" spans="1:2" x14ac:dyDescent="0.25">
      <c r="A1124" s="57">
        <v>15101508</v>
      </c>
      <c r="B1124" s="58" t="s">
        <v>13260</v>
      </c>
    </row>
    <row r="1125" spans="1:2" x14ac:dyDescent="0.25">
      <c r="A1125" s="57">
        <v>15101509</v>
      </c>
      <c r="B1125" s="58" t="s">
        <v>16131</v>
      </c>
    </row>
    <row r="1126" spans="1:2" x14ac:dyDescent="0.25">
      <c r="A1126" s="57">
        <v>15101510</v>
      </c>
      <c r="B1126" s="58" t="s">
        <v>17554</v>
      </c>
    </row>
    <row r="1127" spans="1:2" x14ac:dyDescent="0.25">
      <c r="A1127" s="57">
        <v>15101601</v>
      </c>
      <c r="B1127" s="58" t="s">
        <v>7133</v>
      </c>
    </row>
    <row r="1128" spans="1:2" x14ac:dyDescent="0.25">
      <c r="A1128" s="57">
        <v>15101602</v>
      </c>
      <c r="B1128" s="58" t="s">
        <v>12732</v>
      </c>
    </row>
    <row r="1129" spans="1:2" x14ac:dyDescent="0.25">
      <c r="A1129" s="57">
        <v>15101603</v>
      </c>
      <c r="B1129" s="58" t="s">
        <v>17846</v>
      </c>
    </row>
    <row r="1130" spans="1:2" x14ac:dyDescent="0.25">
      <c r="A1130" s="57">
        <v>15101604</v>
      </c>
      <c r="B1130" s="58" t="s">
        <v>1856</v>
      </c>
    </row>
    <row r="1131" spans="1:2" x14ac:dyDescent="0.25">
      <c r="A1131" s="57">
        <v>15101605</v>
      </c>
      <c r="B1131" s="58" t="s">
        <v>12380</v>
      </c>
    </row>
    <row r="1132" spans="1:2" x14ac:dyDescent="0.25">
      <c r="A1132" s="57">
        <v>15101606</v>
      </c>
      <c r="B1132" s="58" t="s">
        <v>2173</v>
      </c>
    </row>
    <row r="1133" spans="1:2" x14ac:dyDescent="0.25">
      <c r="A1133" s="57">
        <v>15101607</v>
      </c>
      <c r="B1133" s="58" t="s">
        <v>9230</v>
      </c>
    </row>
    <row r="1134" spans="1:2" x14ac:dyDescent="0.25">
      <c r="A1134" s="57">
        <v>15101608</v>
      </c>
      <c r="B1134" s="58" t="s">
        <v>14701</v>
      </c>
    </row>
    <row r="1135" spans="1:2" x14ac:dyDescent="0.25">
      <c r="A1135" s="57">
        <v>15101701</v>
      </c>
      <c r="B1135" s="58" t="s">
        <v>6775</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10406</v>
      </c>
    </row>
    <row r="1142" spans="1:2" x14ac:dyDescent="0.25">
      <c r="A1142" s="57">
        <v>15111506</v>
      </c>
      <c r="B1142" s="58" t="s">
        <v>18209</v>
      </c>
    </row>
    <row r="1143" spans="1:2" x14ac:dyDescent="0.25">
      <c r="A1143" s="57">
        <v>15111507</v>
      </c>
      <c r="B1143" s="58" t="s">
        <v>11869</v>
      </c>
    </row>
    <row r="1144" spans="1:2" x14ac:dyDescent="0.25">
      <c r="A1144" s="57">
        <v>15111508</v>
      </c>
      <c r="B1144" s="58" t="s">
        <v>9843</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13129</v>
      </c>
    </row>
    <row r="1149" spans="1:2" x14ac:dyDescent="0.25">
      <c r="A1149" s="57">
        <v>15121501</v>
      </c>
      <c r="B1149" s="58" t="s">
        <v>9043</v>
      </c>
    </row>
    <row r="1150" spans="1:2" x14ac:dyDescent="0.25">
      <c r="A1150" s="57">
        <v>15121502</v>
      </c>
      <c r="B1150" s="58" t="s">
        <v>16076</v>
      </c>
    </row>
    <row r="1151" spans="1:2" x14ac:dyDescent="0.25">
      <c r="A1151" s="57">
        <v>15121503</v>
      </c>
      <c r="B1151" s="58" t="s">
        <v>10862</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11100</v>
      </c>
    </row>
    <row r="1163" spans="1:2" x14ac:dyDescent="0.25">
      <c r="A1163" s="57">
        <v>15121517</v>
      </c>
      <c r="B1163" s="58" t="s">
        <v>13293</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11004</v>
      </c>
    </row>
    <row r="1187" spans="1:2" x14ac:dyDescent="0.25">
      <c r="A1187" s="57">
        <v>15131505</v>
      </c>
      <c r="B1187" s="58" t="s">
        <v>15621</v>
      </c>
    </row>
    <row r="1188" spans="1:2" x14ac:dyDescent="0.25">
      <c r="A1188" s="57">
        <v>15131506</v>
      </c>
      <c r="B1188" s="58" t="s">
        <v>17895</v>
      </c>
    </row>
    <row r="1189" spans="1:2" x14ac:dyDescent="0.25">
      <c r="A1189" s="57">
        <v>15131601</v>
      </c>
      <c r="B1189" s="58" t="s">
        <v>12910</v>
      </c>
    </row>
    <row r="1190" spans="1:2" x14ac:dyDescent="0.25">
      <c r="A1190" s="57">
        <v>20101501</v>
      </c>
      <c r="B1190" s="58" t="s">
        <v>15954</v>
      </c>
    </row>
    <row r="1191" spans="1:2" x14ac:dyDescent="0.25">
      <c r="A1191" s="57">
        <v>20101502</v>
      </c>
      <c r="B1191" s="58" t="s">
        <v>7354</v>
      </c>
    </row>
    <row r="1192" spans="1:2" x14ac:dyDescent="0.25">
      <c r="A1192" s="57">
        <v>20101503</v>
      </c>
      <c r="B1192" s="58" t="s">
        <v>9710</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5715</v>
      </c>
    </row>
    <row r="1199" spans="1:2" x14ac:dyDescent="0.25">
      <c r="A1199" s="57">
        <v>20101703</v>
      </c>
      <c r="B1199" s="58" t="s">
        <v>18028</v>
      </c>
    </row>
    <row r="1200" spans="1:2" x14ac:dyDescent="0.25">
      <c r="A1200" s="57">
        <v>20101704</v>
      </c>
      <c r="B1200" s="58" t="s">
        <v>17392</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13247</v>
      </c>
    </row>
    <row r="1205" spans="1:2" x14ac:dyDescent="0.25">
      <c r="A1205" s="57">
        <v>20101709</v>
      </c>
      <c r="B1205" s="58" t="s">
        <v>7575</v>
      </c>
    </row>
    <row r="1206" spans="1:2" x14ac:dyDescent="0.25">
      <c r="A1206" s="57">
        <v>20101710</v>
      </c>
      <c r="B1206" s="58" t="s">
        <v>10085</v>
      </c>
    </row>
    <row r="1207" spans="1:2" x14ac:dyDescent="0.25">
      <c r="A1207" s="57">
        <v>20101711</v>
      </c>
      <c r="B1207" s="58" t="s">
        <v>1646</v>
      </c>
    </row>
    <row r="1208" spans="1:2" x14ac:dyDescent="0.25">
      <c r="A1208" s="57">
        <v>20101712</v>
      </c>
      <c r="B1208" s="58" t="s">
        <v>10547</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5000</v>
      </c>
    </row>
    <row r="1214" spans="1:2" x14ac:dyDescent="0.25">
      <c r="A1214" s="57">
        <v>20101804</v>
      </c>
      <c r="B1214" s="58" t="s">
        <v>4242</v>
      </c>
    </row>
    <row r="1215" spans="1:2" x14ac:dyDescent="0.25">
      <c r="A1215" s="57">
        <v>20101805</v>
      </c>
      <c r="B1215" s="58" t="s">
        <v>10291</v>
      </c>
    </row>
    <row r="1216" spans="1:2" x14ac:dyDescent="0.25">
      <c r="A1216" s="57">
        <v>20101901</v>
      </c>
      <c r="B1216" s="58" t="s">
        <v>4517</v>
      </c>
    </row>
    <row r="1217" spans="1:2" x14ac:dyDescent="0.25">
      <c r="A1217" s="57">
        <v>20101902</v>
      </c>
      <c r="B1217" s="58" t="s">
        <v>14578</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9619</v>
      </c>
    </row>
    <row r="1224" spans="1:2" x14ac:dyDescent="0.25">
      <c r="A1224" s="57">
        <v>20102006</v>
      </c>
      <c r="B1224" s="58" t="s">
        <v>17982</v>
      </c>
    </row>
    <row r="1225" spans="1:2" x14ac:dyDescent="0.25">
      <c r="A1225" s="57">
        <v>20102007</v>
      </c>
      <c r="B1225" s="58" t="s">
        <v>3179</v>
      </c>
    </row>
    <row r="1226" spans="1:2" x14ac:dyDescent="0.25">
      <c r="A1226" s="57">
        <v>20102008</v>
      </c>
      <c r="B1226" s="58" t="s">
        <v>10273</v>
      </c>
    </row>
    <row r="1227" spans="1:2" x14ac:dyDescent="0.25">
      <c r="A1227" s="57">
        <v>20102101</v>
      </c>
      <c r="B1227" s="58" t="s">
        <v>15815</v>
      </c>
    </row>
    <row r="1228" spans="1:2" x14ac:dyDescent="0.25">
      <c r="A1228" s="57">
        <v>20102102</v>
      </c>
      <c r="B1228" s="58" t="s">
        <v>11951</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12978</v>
      </c>
    </row>
    <row r="1233" spans="1:2" x14ac:dyDescent="0.25">
      <c r="A1233" s="57">
        <v>20102203</v>
      </c>
      <c r="B1233" s="58" t="s">
        <v>9937</v>
      </c>
    </row>
    <row r="1234" spans="1:2" x14ac:dyDescent="0.25">
      <c r="A1234" s="57">
        <v>20102301</v>
      </c>
      <c r="B1234" s="58" t="s">
        <v>16759</v>
      </c>
    </row>
    <row r="1235" spans="1:2" x14ac:dyDescent="0.25">
      <c r="A1235" s="57">
        <v>20102302</v>
      </c>
      <c r="B1235" s="58" t="s">
        <v>9351</v>
      </c>
    </row>
    <row r="1236" spans="1:2" x14ac:dyDescent="0.25">
      <c r="A1236" s="57">
        <v>20102303</v>
      </c>
      <c r="B1236" s="58" t="s">
        <v>9786</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5843</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11016</v>
      </c>
    </row>
    <row r="1250" spans="1:2" x14ac:dyDescent="0.25">
      <c r="A1250" s="57">
        <v>20111609</v>
      </c>
      <c r="B1250" s="58" t="s">
        <v>17456</v>
      </c>
    </row>
    <row r="1251" spans="1:2" x14ac:dyDescent="0.25">
      <c r="A1251" s="57">
        <v>20111610</v>
      </c>
      <c r="B1251" s="58" t="s">
        <v>968</v>
      </c>
    </row>
    <row r="1252" spans="1:2" x14ac:dyDescent="0.25">
      <c r="A1252" s="57">
        <v>20111611</v>
      </c>
      <c r="B1252" s="58" t="s">
        <v>10873</v>
      </c>
    </row>
    <row r="1253" spans="1:2" x14ac:dyDescent="0.25">
      <c r="A1253" s="57">
        <v>20111612</v>
      </c>
      <c r="B1253" s="58" t="s">
        <v>9810</v>
      </c>
    </row>
    <row r="1254" spans="1:2" x14ac:dyDescent="0.25">
      <c r="A1254" s="57">
        <v>20111613</v>
      </c>
      <c r="B1254" s="58" t="s">
        <v>1699</v>
      </c>
    </row>
    <row r="1255" spans="1:2" x14ac:dyDescent="0.25">
      <c r="A1255" s="57">
        <v>20111614</v>
      </c>
      <c r="B1255" s="58" t="s">
        <v>2755</v>
      </c>
    </row>
    <row r="1256" spans="1:2" x14ac:dyDescent="0.25">
      <c r="A1256" s="57">
        <v>20111615</v>
      </c>
      <c r="B1256" s="58" t="s">
        <v>12326</v>
      </c>
    </row>
    <row r="1257" spans="1:2" x14ac:dyDescent="0.25">
      <c r="A1257" s="57">
        <v>20111616</v>
      </c>
      <c r="B1257" s="58" t="s">
        <v>10411</v>
      </c>
    </row>
    <row r="1258" spans="1:2" x14ac:dyDescent="0.25">
      <c r="A1258" s="57">
        <v>20111617</v>
      </c>
      <c r="B1258" s="58" t="s">
        <v>7059</v>
      </c>
    </row>
    <row r="1259" spans="1:2" x14ac:dyDescent="0.25">
      <c r="A1259" s="57">
        <v>20111618</v>
      </c>
      <c r="B1259" s="58" t="s">
        <v>1488</v>
      </c>
    </row>
    <row r="1260" spans="1:2" x14ac:dyDescent="0.25">
      <c r="A1260" s="57">
        <v>20111619</v>
      </c>
      <c r="B1260" s="58" t="s">
        <v>13042</v>
      </c>
    </row>
    <row r="1261" spans="1:2" x14ac:dyDescent="0.25">
      <c r="A1261" s="57">
        <v>20111701</v>
      </c>
      <c r="B1261" s="58" t="s">
        <v>6619</v>
      </c>
    </row>
    <row r="1262" spans="1:2" x14ac:dyDescent="0.25">
      <c r="A1262" s="57">
        <v>20111702</v>
      </c>
      <c r="B1262" s="58" t="s">
        <v>12989</v>
      </c>
    </row>
    <row r="1263" spans="1:2" x14ac:dyDescent="0.25">
      <c r="A1263" s="57">
        <v>20111703</v>
      </c>
      <c r="B1263" s="58" t="s">
        <v>3767</v>
      </c>
    </row>
    <row r="1264" spans="1:2" x14ac:dyDescent="0.25">
      <c r="A1264" s="57">
        <v>20111704</v>
      </c>
      <c r="B1264" s="58" t="s">
        <v>13980</v>
      </c>
    </row>
    <row r="1265" spans="1:2" x14ac:dyDescent="0.25">
      <c r="A1265" s="57">
        <v>20111705</v>
      </c>
      <c r="B1265" s="58" t="s">
        <v>8615</v>
      </c>
    </row>
    <row r="1266" spans="1:2" x14ac:dyDescent="0.25">
      <c r="A1266" s="57">
        <v>20111706</v>
      </c>
      <c r="B1266" s="58" t="s">
        <v>1839</v>
      </c>
    </row>
    <row r="1267" spans="1:2" x14ac:dyDescent="0.25">
      <c r="A1267" s="57">
        <v>20111707</v>
      </c>
      <c r="B1267" s="58" t="s">
        <v>11610</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11456</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7658</v>
      </c>
    </row>
    <row r="1285" spans="1:2" x14ac:dyDescent="0.25">
      <c r="A1285" s="57">
        <v>20121016</v>
      </c>
      <c r="B1285" s="58" t="s">
        <v>13982</v>
      </c>
    </row>
    <row r="1286" spans="1:2" x14ac:dyDescent="0.25">
      <c r="A1286" s="57">
        <v>20121101</v>
      </c>
      <c r="B1286" s="58" t="s">
        <v>9704</v>
      </c>
    </row>
    <row r="1287" spans="1:2" x14ac:dyDescent="0.25">
      <c r="A1287" s="57">
        <v>20121102</v>
      </c>
      <c r="B1287" s="58" t="s">
        <v>13331</v>
      </c>
    </row>
    <row r="1288" spans="1:2" x14ac:dyDescent="0.25">
      <c r="A1288" s="57">
        <v>20121103</v>
      </c>
      <c r="B1288" s="58" t="s">
        <v>2947</v>
      </c>
    </row>
    <row r="1289" spans="1:2" x14ac:dyDescent="0.25">
      <c r="A1289" s="57">
        <v>20121104</v>
      </c>
      <c r="B1289" s="58" t="s">
        <v>9966</v>
      </c>
    </row>
    <row r="1290" spans="1:2" x14ac:dyDescent="0.25">
      <c r="A1290" s="57">
        <v>20121105</v>
      </c>
      <c r="B1290" s="58" t="s">
        <v>11707</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11241</v>
      </c>
    </row>
    <row r="1302" spans="1:2" x14ac:dyDescent="0.25">
      <c r="A1302" s="57">
        <v>20121117</v>
      </c>
      <c r="B1302" s="58" t="s">
        <v>17717</v>
      </c>
    </row>
    <row r="1303" spans="1:2" x14ac:dyDescent="0.25">
      <c r="A1303" s="57">
        <v>20121118</v>
      </c>
      <c r="B1303" s="58" t="s">
        <v>13840</v>
      </c>
    </row>
    <row r="1304" spans="1:2" x14ac:dyDescent="0.25">
      <c r="A1304" s="57">
        <v>20121119</v>
      </c>
      <c r="B1304" s="58" t="s">
        <v>16337</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10332</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14674</v>
      </c>
    </row>
    <row r="1322" spans="1:2" x14ac:dyDescent="0.25">
      <c r="A1322" s="57">
        <v>20121305</v>
      </c>
      <c r="B1322" s="58" t="s">
        <v>7921</v>
      </c>
    </row>
    <row r="1323" spans="1:2" x14ac:dyDescent="0.25">
      <c r="A1323" s="57">
        <v>20121306</v>
      </c>
      <c r="B1323" s="58" t="s">
        <v>11756</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11262</v>
      </c>
    </row>
    <row r="1332" spans="1:2" x14ac:dyDescent="0.25">
      <c r="A1332" s="57">
        <v>20121315</v>
      </c>
      <c r="B1332" s="58" t="s">
        <v>14459</v>
      </c>
    </row>
    <row r="1333" spans="1:2" x14ac:dyDescent="0.25">
      <c r="A1333" s="57">
        <v>20121316</v>
      </c>
      <c r="B1333" s="58" t="s">
        <v>10214</v>
      </c>
    </row>
    <row r="1334" spans="1:2" x14ac:dyDescent="0.25">
      <c r="A1334" s="57">
        <v>20121317</v>
      </c>
      <c r="B1334" s="58" t="s">
        <v>135</v>
      </c>
    </row>
    <row r="1335" spans="1:2" x14ac:dyDescent="0.25">
      <c r="A1335" s="57">
        <v>20121318</v>
      </c>
      <c r="B1335" s="58" t="s">
        <v>12410</v>
      </c>
    </row>
    <row r="1336" spans="1:2" x14ac:dyDescent="0.25">
      <c r="A1336" s="57">
        <v>20121319</v>
      </c>
      <c r="B1336" s="58" t="s">
        <v>2918</v>
      </c>
    </row>
    <row r="1337" spans="1:2" x14ac:dyDescent="0.25">
      <c r="A1337" s="57">
        <v>20121320</v>
      </c>
      <c r="B1337" s="58" t="s">
        <v>833</v>
      </c>
    </row>
    <row r="1338" spans="1:2" x14ac:dyDescent="0.25">
      <c r="A1338" s="57">
        <v>20121321</v>
      </c>
      <c r="B1338" s="58" t="s">
        <v>12263</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17641</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12857</v>
      </c>
    </row>
    <row r="1347" spans="1:2" x14ac:dyDescent="0.25">
      <c r="A1347" s="57">
        <v>20121407</v>
      </c>
      <c r="B1347" s="58" t="s">
        <v>18231</v>
      </c>
    </row>
    <row r="1348" spans="1:2" x14ac:dyDescent="0.25">
      <c r="A1348" s="57">
        <v>20121408</v>
      </c>
      <c r="B1348" s="58" t="s">
        <v>12809</v>
      </c>
    </row>
    <row r="1349" spans="1:2" x14ac:dyDescent="0.25">
      <c r="A1349" s="57">
        <v>20121409</v>
      </c>
      <c r="B1349" s="58" t="s">
        <v>13109</v>
      </c>
    </row>
    <row r="1350" spans="1:2" x14ac:dyDescent="0.25">
      <c r="A1350" s="57">
        <v>20121410</v>
      </c>
      <c r="B1350" s="58" t="s">
        <v>2490</v>
      </c>
    </row>
    <row r="1351" spans="1:2" x14ac:dyDescent="0.25">
      <c r="A1351" s="57">
        <v>20121411</v>
      </c>
      <c r="B1351" s="58" t="s">
        <v>15886</v>
      </c>
    </row>
    <row r="1352" spans="1:2" x14ac:dyDescent="0.25">
      <c r="A1352" s="57">
        <v>20121412</v>
      </c>
      <c r="B1352" s="58" t="s">
        <v>11407</v>
      </c>
    </row>
    <row r="1353" spans="1:2" x14ac:dyDescent="0.25">
      <c r="A1353" s="57">
        <v>20121413</v>
      </c>
      <c r="B1353" s="58" t="s">
        <v>9825</v>
      </c>
    </row>
    <row r="1354" spans="1:2" x14ac:dyDescent="0.25">
      <c r="A1354" s="57">
        <v>20121414</v>
      </c>
      <c r="B1354" s="58" t="s">
        <v>10098</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11042</v>
      </c>
    </row>
    <row r="1361" spans="1:2" x14ac:dyDescent="0.25">
      <c r="A1361" s="57">
        <v>20121421</v>
      </c>
      <c r="B1361" s="58" t="s">
        <v>9919</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11528</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9866</v>
      </c>
    </row>
    <row r="1376" spans="1:2" x14ac:dyDescent="0.25">
      <c r="A1376" s="57">
        <v>20121507</v>
      </c>
      <c r="B1376" s="58" t="s">
        <v>14566</v>
      </c>
    </row>
    <row r="1377" spans="1:2" x14ac:dyDescent="0.25">
      <c r="A1377" s="57">
        <v>20121508</v>
      </c>
      <c r="B1377" s="58" t="s">
        <v>16675</v>
      </c>
    </row>
    <row r="1378" spans="1:2" x14ac:dyDescent="0.25">
      <c r="A1378" s="57">
        <v>20121509</v>
      </c>
      <c r="B1378" s="58" t="s">
        <v>13018</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10789</v>
      </c>
    </row>
    <row r="1383" spans="1:2" x14ac:dyDescent="0.25">
      <c r="A1383" s="57">
        <v>20121514</v>
      </c>
      <c r="B1383" s="58" t="s">
        <v>827</v>
      </c>
    </row>
    <row r="1384" spans="1:2" x14ac:dyDescent="0.25">
      <c r="A1384" s="57">
        <v>20121515</v>
      </c>
      <c r="B1384" s="58" t="s">
        <v>9587</v>
      </c>
    </row>
    <row r="1385" spans="1:2" x14ac:dyDescent="0.25">
      <c r="A1385" s="57">
        <v>20121516</v>
      </c>
      <c r="B1385" s="58" t="s">
        <v>9748</v>
      </c>
    </row>
    <row r="1386" spans="1:2" x14ac:dyDescent="0.25">
      <c r="A1386" s="57">
        <v>20121601</v>
      </c>
      <c r="B1386" s="58" t="s">
        <v>6402</v>
      </c>
    </row>
    <row r="1387" spans="1:2" x14ac:dyDescent="0.25">
      <c r="A1387" s="57">
        <v>20121602</v>
      </c>
      <c r="B1387" s="58" t="s">
        <v>4835</v>
      </c>
    </row>
    <row r="1388" spans="1:2" x14ac:dyDescent="0.25">
      <c r="A1388" s="57">
        <v>20121603</v>
      </c>
      <c r="B1388" s="58" t="s">
        <v>14494</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13085</v>
      </c>
    </row>
    <row r="1393" spans="1:2" x14ac:dyDescent="0.25">
      <c r="A1393" s="57">
        <v>20121701</v>
      </c>
      <c r="B1393" s="58" t="s">
        <v>10711</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13818</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13996</v>
      </c>
    </row>
    <row r="1404" spans="1:2" x14ac:dyDescent="0.25">
      <c r="A1404" s="57">
        <v>20121804</v>
      </c>
      <c r="B1404" s="58" t="s">
        <v>383</v>
      </c>
    </row>
    <row r="1405" spans="1:2" x14ac:dyDescent="0.25">
      <c r="A1405" s="57">
        <v>20121805</v>
      </c>
      <c r="B1405" s="58" t="s">
        <v>11636</v>
      </c>
    </row>
    <row r="1406" spans="1:2" x14ac:dyDescent="0.25">
      <c r="A1406" s="57">
        <v>20121901</v>
      </c>
      <c r="B1406" s="58" t="s">
        <v>18427</v>
      </c>
    </row>
    <row r="1407" spans="1:2" x14ac:dyDescent="0.25">
      <c r="A1407" s="57">
        <v>20121902</v>
      </c>
      <c r="B1407" s="58" t="s">
        <v>5914</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12209</v>
      </c>
    </row>
    <row r="1414" spans="1:2" x14ac:dyDescent="0.25">
      <c r="A1414" s="57">
        <v>20121909</v>
      </c>
      <c r="B1414" s="58" t="s">
        <v>13615</v>
      </c>
    </row>
    <row r="1415" spans="1:2" x14ac:dyDescent="0.25">
      <c r="A1415" s="57">
        <v>20121910</v>
      </c>
      <c r="B1415" s="58" t="s">
        <v>12136</v>
      </c>
    </row>
    <row r="1416" spans="1:2" x14ac:dyDescent="0.25">
      <c r="A1416" s="57">
        <v>20121911</v>
      </c>
      <c r="B1416" s="58" t="s">
        <v>1503</v>
      </c>
    </row>
    <row r="1417" spans="1:2" x14ac:dyDescent="0.25">
      <c r="A1417" s="57">
        <v>20121912</v>
      </c>
      <c r="B1417" s="58" t="s">
        <v>14374</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12285</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10100</v>
      </c>
    </row>
    <row r="1428" spans="1:2" x14ac:dyDescent="0.25">
      <c r="A1428" s="57">
        <v>20122103</v>
      </c>
      <c r="B1428" s="58" t="s">
        <v>9738</v>
      </c>
    </row>
    <row r="1429" spans="1:2" x14ac:dyDescent="0.25">
      <c r="A1429" s="57">
        <v>20122104</v>
      </c>
      <c r="B1429" s="58" t="s">
        <v>981</v>
      </c>
    </row>
    <row r="1430" spans="1:2" x14ac:dyDescent="0.25">
      <c r="A1430" s="57">
        <v>20122105</v>
      </c>
      <c r="B1430" s="58" t="s">
        <v>7917</v>
      </c>
    </row>
    <row r="1431" spans="1:2" x14ac:dyDescent="0.25">
      <c r="A1431" s="57">
        <v>20122106</v>
      </c>
      <c r="B1431" s="58" t="s">
        <v>13816</v>
      </c>
    </row>
    <row r="1432" spans="1:2" x14ac:dyDescent="0.25">
      <c r="A1432" s="57">
        <v>20122107</v>
      </c>
      <c r="B1432" s="58" t="s">
        <v>629</v>
      </c>
    </row>
    <row r="1433" spans="1:2" x14ac:dyDescent="0.25">
      <c r="A1433" s="57">
        <v>20122108</v>
      </c>
      <c r="B1433" s="58" t="s">
        <v>9942</v>
      </c>
    </row>
    <row r="1434" spans="1:2" x14ac:dyDescent="0.25">
      <c r="A1434" s="57">
        <v>20122109</v>
      </c>
      <c r="B1434" s="58" t="s">
        <v>10517</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9647</v>
      </c>
    </row>
    <row r="1447" spans="1:2" x14ac:dyDescent="0.25">
      <c r="A1447" s="57">
        <v>20122207</v>
      </c>
      <c r="B1447" s="58" t="s">
        <v>1963</v>
      </c>
    </row>
    <row r="1448" spans="1:2" x14ac:dyDescent="0.25">
      <c r="A1448" s="57">
        <v>20122208</v>
      </c>
      <c r="B1448" s="58" t="s">
        <v>12556</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8531</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8664</v>
      </c>
    </row>
    <row r="1457" spans="1:2" x14ac:dyDescent="0.25">
      <c r="A1457" s="57">
        <v>20122301</v>
      </c>
      <c r="B1457" s="58" t="s">
        <v>10795</v>
      </c>
    </row>
    <row r="1458" spans="1:2" x14ac:dyDescent="0.25">
      <c r="A1458" s="57">
        <v>20122302</v>
      </c>
      <c r="B1458" s="58" t="s">
        <v>18340</v>
      </c>
    </row>
    <row r="1459" spans="1:2" x14ac:dyDescent="0.25">
      <c r="A1459" s="57">
        <v>20122303</v>
      </c>
      <c r="B1459" s="58" t="s">
        <v>13514</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14559</v>
      </c>
    </row>
    <row r="1471" spans="1:2" x14ac:dyDescent="0.25">
      <c r="A1471" s="57">
        <v>20122315</v>
      </c>
      <c r="B1471" s="58" t="s">
        <v>9692</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10201</v>
      </c>
    </row>
    <row r="1480" spans="1:2" x14ac:dyDescent="0.25">
      <c r="A1480" s="57">
        <v>20122324</v>
      </c>
      <c r="B1480" s="58" t="s">
        <v>15325</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8690</v>
      </c>
    </row>
    <row r="1485" spans="1:2" x14ac:dyDescent="0.25">
      <c r="A1485" s="57">
        <v>20122329</v>
      </c>
      <c r="B1485" s="58" t="s">
        <v>13920</v>
      </c>
    </row>
    <row r="1486" spans="1:2" x14ac:dyDescent="0.25">
      <c r="A1486" s="57">
        <v>20122330</v>
      </c>
      <c r="B1486" s="58" t="s">
        <v>17214</v>
      </c>
    </row>
    <row r="1487" spans="1:2" x14ac:dyDescent="0.25">
      <c r="A1487" s="57">
        <v>20122331</v>
      </c>
      <c r="B1487" s="58" t="s">
        <v>15143</v>
      </c>
    </row>
    <row r="1488" spans="1:2" x14ac:dyDescent="0.25">
      <c r="A1488" s="57">
        <v>20122332</v>
      </c>
      <c r="B1488" s="58" t="s">
        <v>11090</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17339</v>
      </c>
    </row>
    <row r="1497" spans="1:2" x14ac:dyDescent="0.25">
      <c r="A1497" s="57">
        <v>20122342</v>
      </c>
      <c r="B1497" s="58" t="s">
        <v>9028</v>
      </c>
    </row>
    <row r="1498" spans="1:2" x14ac:dyDescent="0.25">
      <c r="A1498" s="57">
        <v>20122343</v>
      </c>
      <c r="B1498" s="58" t="s">
        <v>12255</v>
      </c>
    </row>
    <row r="1499" spans="1:2" x14ac:dyDescent="0.25">
      <c r="A1499" s="57">
        <v>20122344</v>
      </c>
      <c r="B1499" s="58" t="s">
        <v>5600</v>
      </c>
    </row>
    <row r="1500" spans="1:2" x14ac:dyDescent="0.25">
      <c r="A1500" s="57">
        <v>20122345</v>
      </c>
      <c r="B1500" s="58" t="s">
        <v>15573</v>
      </c>
    </row>
    <row r="1501" spans="1:2" x14ac:dyDescent="0.25">
      <c r="A1501" s="57">
        <v>20122346</v>
      </c>
      <c r="B1501" s="58" t="s">
        <v>11859</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17332</v>
      </c>
    </row>
    <row r="1507" spans="1:2" x14ac:dyDescent="0.25">
      <c r="A1507" s="57">
        <v>20122352</v>
      </c>
      <c r="B1507" s="58" t="s">
        <v>7776</v>
      </c>
    </row>
    <row r="1508" spans="1:2" x14ac:dyDescent="0.25">
      <c r="A1508" s="57">
        <v>20122353</v>
      </c>
      <c r="B1508" s="58" t="s">
        <v>4394</v>
      </c>
    </row>
    <row r="1509" spans="1:2" x14ac:dyDescent="0.25">
      <c r="A1509" s="57">
        <v>20122354</v>
      </c>
      <c r="B1509" s="58" t="s">
        <v>10541</v>
      </c>
    </row>
    <row r="1510" spans="1:2" x14ac:dyDescent="0.25">
      <c r="A1510" s="57">
        <v>20122356</v>
      </c>
      <c r="B1510" s="58" t="s">
        <v>9766</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12394</v>
      </c>
    </row>
    <row r="1516" spans="1:2" x14ac:dyDescent="0.25">
      <c r="A1516" s="57">
        <v>20122405</v>
      </c>
      <c r="B1516" s="58" t="s">
        <v>563</v>
      </c>
    </row>
    <row r="1517" spans="1:2" x14ac:dyDescent="0.25">
      <c r="A1517" s="57">
        <v>20122406</v>
      </c>
      <c r="B1517" s="58" t="s">
        <v>8809</v>
      </c>
    </row>
    <row r="1518" spans="1:2" x14ac:dyDescent="0.25">
      <c r="A1518" s="57">
        <v>20122407</v>
      </c>
      <c r="B1518" s="58" t="s">
        <v>10875</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10453</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10146</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11180</v>
      </c>
    </row>
    <row r="1553" spans="1:2" x14ac:dyDescent="0.25">
      <c r="A1553" s="57">
        <v>20122617</v>
      </c>
      <c r="B1553" s="58" t="s">
        <v>5471</v>
      </c>
    </row>
    <row r="1554" spans="1:2" x14ac:dyDescent="0.25">
      <c r="A1554" s="57">
        <v>20122618</v>
      </c>
      <c r="B1554" s="58" t="s">
        <v>12028</v>
      </c>
    </row>
    <row r="1555" spans="1:2" x14ac:dyDescent="0.25">
      <c r="A1555" s="57">
        <v>20122619</v>
      </c>
      <c r="B1555" s="58" t="s">
        <v>16806</v>
      </c>
    </row>
    <row r="1556" spans="1:2" x14ac:dyDescent="0.25">
      <c r="A1556" s="57">
        <v>20122620</v>
      </c>
      <c r="B1556" s="58" t="s">
        <v>12403</v>
      </c>
    </row>
    <row r="1557" spans="1:2" x14ac:dyDescent="0.25">
      <c r="A1557" s="57">
        <v>20122621</v>
      </c>
      <c r="B1557" s="58" t="s">
        <v>13856</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10355</v>
      </c>
    </row>
    <row r="1566" spans="1:2" x14ac:dyDescent="0.25">
      <c r="A1566" s="57">
        <v>20122707</v>
      </c>
      <c r="B1566" s="58" t="s">
        <v>1315</v>
      </c>
    </row>
    <row r="1567" spans="1:2" x14ac:dyDescent="0.25">
      <c r="A1567" s="57">
        <v>20122708</v>
      </c>
      <c r="B1567" s="58" t="s">
        <v>13197</v>
      </c>
    </row>
    <row r="1568" spans="1:2" x14ac:dyDescent="0.25">
      <c r="A1568" s="57">
        <v>20122709</v>
      </c>
      <c r="B1568" s="58" t="s">
        <v>10330</v>
      </c>
    </row>
    <row r="1569" spans="1:2" x14ac:dyDescent="0.25">
      <c r="A1569" s="57">
        <v>20122801</v>
      </c>
      <c r="B1569" s="58" t="s">
        <v>11203</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9747</v>
      </c>
    </row>
    <row r="1577" spans="1:2" x14ac:dyDescent="0.25">
      <c r="A1577" s="57">
        <v>20122810</v>
      </c>
      <c r="B1577" s="58" t="s">
        <v>727</v>
      </c>
    </row>
    <row r="1578" spans="1:2" x14ac:dyDescent="0.25">
      <c r="A1578" s="57">
        <v>20122811</v>
      </c>
      <c r="B1578" s="58" t="s">
        <v>8106</v>
      </c>
    </row>
    <row r="1579" spans="1:2" x14ac:dyDescent="0.25">
      <c r="A1579" s="57">
        <v>20122812</v>
      </c>
      <c r="B1579" s="58" t="s">
        <v>11468</v>
      </c>
    </row>
    <row r="1580" spans="1:2" x14ac:dyDescent="0.25">
      <c r="A1580" s="57">
        <v>20122813</v>
      </c>
      <c r="B1580" s="58" t="s">
        <v>5985</v>
      </c>
    </row>
    <row r="1581" spans="1:2" x14ac:dyDescent="0.25">
      <c r="A1581" s="57">
        <v>20122814</v>
      </c>
      <c r="B1581" s="58" t="s">
        <v>11061</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10484</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5865</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12780</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11830</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11537</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11628</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13036</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11753</v>
      </c>
    </row>
    <row r="1646" spans="1:2" x14ac:dyDescent="0.25">
      <c r="A1646" s="57">
        <v>20141004</v>
      </c>
      <c r="B1646" s="58" t="s">
        <v>5654</v>
      </c>
    </row>
    <row r="1647" spans="1:2" x14ac:dyDescent="0.25">
      <c r="A1647" s="57">
        <v>20141005</v>
      </c>
      <c r="B1647" s="58" t="s">
        <v>7498</v>
      </c>
    </row>
    <row r="1648" spans="1:2" x14ac:dyDescent="0.25">
      <c r="A1648" s="57">
        <v>20141006</v>
      </c>
      <c r="B1648" s="58" t="s">
        <v>10621</v>
      </c>
    </row>
    <row r="1649" spans="1:2" x14ac:dyDescent="0.25">
      <c r="A1649" s="57">
        <v>20141007</v>
      </c>
      <c r="B1649" s="58" t="s">
        <v>6220</v>
      </c>
    </row>
    <row r="1650" spans="1:2" x14ac:dyDescent="0.25">
      <c r="A1650" s="57">
        <v>20141008</v>
      </c>
      <c r="B1650" s="58" t="s">
        <v>11237</v>
      </c>
    </row>
    <row r="1651" spans="1:2" x14ac:dyDescent="0.25">
      <c r="A1651" s="57">
        <v>20141011</v>
      </c>
      <c r="B1651" s="58" t="s">
        <v>10431</v>
      </c>
    </row>
    <row r="1652" spans="1:2" x14ac:dyDescent="0.25">
      <c r="A1652" s="57">
        <v>20141012</v>
      </c>
      <c r="B1652" s="58" t="s">
        <v>12400</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12849</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10351</v>
      </c>
    </row>
    <row r="1662" spans="1:2" x14ac:dyDescent="0.25">
      <c r="A1662" s="57">
        <v>20141701</v>
      </c>
      <c r="B1662" s="58" t="s">
        <v>15754</v>
      </c>
    </row>
    <row r="1663" spans="1:2" x14ac:dyDescent="0.25">
      <c r="A1663" s="57">
        <v>20141702</v>
      </c>
      <c r="B1663" s="58" t="s">
        <v>10771</v>
      </c>
    </row>
    <row r="1664" spans="1:2" x14ac:dyDescent="0.25">
      <c r="A1664" s="57">
        <v>20141703</v>
      </c>
      <c r="B1664" s="58" t="s">
        <v>15647</v>
      </c>
    </row>
    <row r="1665" spans="1:2" x14ac:dyDescent="0.25">
      <c r="A1665" s="57">
        <v>20141704</v>
      </c>
      <c r="B1665" s="58" t="s">
        <v>13653</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11135</v>
      </c>
    </row>
    <row r="1672" spans="1:2" x14ac:dyDescent="0.25">
      <c r="A1672" s="57">
        <v>20142301</v>
      </c>
      <c r="B1672" s="58" t="s">
        <v>17619</v>
      </c>
    </row>
    <row r="1673" spans="1:2" x14ac:dyDescent="0.25">
      <c r="A1673" s="57">
        <v>20142401</v>
      </c>
      <c r="B1673" s="58" t="s">
        <v>11957</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10224</v>
      </c>
    </row>
    <row r="1682" spans="1:2" x14ac:dyDescent="0.25">
      <c r="A1682" s="57">
        <v>20142703</v>
      </c>
      <c r="B1682" s="58" t="s">
        <v>3249</v>
      </c>
    </row>
    <row r="1683" spans="1:2" x14ac:dyDescent="0.25">
      <c r="A1683" s="57">
        <v>20142801</v>
      </c>
      <c r="B1683" s="58" t="s">
        <v>8595</v>
      </c>
    </row>
    <row r="1684" spans="1:2" x14ac:dyDescent="0.25">
      <c r="A1684" s="57">
        <v>20142901</v>
      </c>
      <c r="B1684" s="58" t="s">
        <v>10336</v>
      </c>
    </row>
    <row r="1685" spans="1:2" x14ac:dyDescent="0.25">
      <c r="A1685" s="57">
        <v>20143001</v>
      </c>
      <c r="B1685" s="58" t="s">
        <v>10911</v>
      </c>
    </row>
    <row r="1686" spans="1:2" x14ac:dyDescent="0.25">
      <c r="A1686" s="57">
        <v>20143002</v>
      </c>
      <c r="B1686" s="58" t="s">
        <v>11904</v>
      </c>
    </row>
    <row r="1687" spans="1:2" x14ac:dyDescent="0.25">
      <c r="A1687" s="57">
        <v>21101501</v>
      </c>
      <c r="B1687" s="58" t="s">
        <v>12078</v>
      </c>
    </row>
    <row r="1688" spans="1:2" x14ac:dyDescent="0.25">
      <c r="A1688" s="57">
        <v>21101502</v>
      </c>
      <c r="B1688" s="58" t="s">
        <v>15693</v>
      </c>
    </row>
    <row r="1689" spans="1:2" x14ac:dyDescent="0.25">
      <c r="A1689" s="57">
        <v>21101503</v>
      </c>
      <c r="B1689" s="58" t="s">
        <v>11501</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10563</v>
      </c>
    </row>
    <row r="1698" spans="1:2" x14ac:dyDescent="0.25">
      <c r="A1698" s="57">
        <v>21101512</v>
      </c>
      <c r="B1698" s="58" t="s">
        <v>9184</v>
      </c>
    </row>
    <row r="1699" spans="1:2" x14ac:dyDescent="0.25">
      <c r="A1699" s="57">
        <v>21101513</v>
      </c>
      <c r="B1699" s="58" t="s">
        <v>10485</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10104</v>
      </c>
    </row>
    <row r="1704" spans="1:2" x14ac:dyDescent="0.25">
      <c r="A1704" s="57">
        <v>21101603</v>
      </c>
      <c r="B1704" s="58" t="s">
        <v>17183</v>
      </c>
    </row>
    <row r="1705" spans="1:2" x14ac:dyDescent="0.25">
      <c r="A1705" s="57">
        <v>21101604</v>
      </c>
      <c r="B1705" s="58" t="s">
        <v>1395</v>
      </c>
    </row>
    <row r="1706" spans="1:2" x14ac:dyDescent="0.25">
      <c r="A1706" s="57">
        <v>21101605</v>
      </c>
      <c r="B1706" s="58" t="s">
        <v>10129</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10065</v>
      </c>
    </row>
    <row r="1715" spans="1:2" x14ac:dyDescent="0.25">
      <c r="A1715" s="57">
        <v>21101707</v>
      </c>
      <c r="B1715" s="58" t="s">
        <v>6317</v>
      </c>
    </row>
    <row r="1716" spans="1:2" x14ac:dyDescent="0.25">
      <c r="A1716" s="57">
        <v>21101708</v>
      </c>
      <c r="B1716" s="58" t="s">
        <v>9734</v>
      </c>
    </row>
    <row r="1717" spans="1:2" x14ac:dyDescent="0.25">
      <c r="A1717" s="57">
        <v>21101801</v>
      </c>
      <c r="B1717" s="58" t="s">
        <v>18804</v>
      </c>
    </row>
    <row r="1718" spans="1:2" x14ac:dyDescent="0.25">
      <c r="A1718" s="57">
        <v>21101802</v>
      </c>
      <c r="B1718" s="58" t="s">
        <v>6173</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10845</v>
      </c>
    </row>
    <row r="1727" spans="1:2" x14ac:dyDescent="0.25">
      <c r="A1727" s="57">
        <v>21101903</v>
      </c>
      <c r="B1727" s="58" t="s">
        <v>7722</v>
      </c>
    </row>
    <row r="1728" spans="1:2" x14ac:dyDescent="0.25">
      <c r="A1728" s="57">
        <v>21101904</v>
      </c>
      <c r="B1728" s="58" t="s">
        <v>12488</v>
      </c>
    </row>
    <row r="1729" spans="1:2" x14ac:dyDescent="0.25">
      <c r="A1729" s="57">
        <v>21101905</v>
      </c>
      <c r="B1729" s="58" t="s">
        <v>15888</v>
      </c>
    </row>
    <row r="1730" spans="1:2" x14ac:dyDescent="0.25">
      <c r="A1730" s="57">
        <v>21101906</v>
      </c>
      <c r="B1730" s="58" t="s">
        <v>15568</v>
      </c>
    </row>
    <row r="1731" spans="1:2" x14ac:dyDescent="0.25">
      <c r="A1731" s="57">
        <v>21101907</v>
      </c>
      <c r="B1731" s="58" t="s">
        <v>12828</v>
      </c>
    </row>
    <row r="1732" spans="1:2" x14ac:dyDescent="0.25">
      <c r="A1732" s="57">
        <v>21101908</v>
      </c>
      <c r="B1732" s="58" t="s">
        <v>13444</v>
      </c>
    </row>
    <row r="1733" spans="1:2" x14ac:dyDescent="0.25">
      <c r="A1733" s="57">
        <v>21101909</v>
      </c>
      <c r="B1733" s="58" t="s">
        <v>11920</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10648</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5913</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11489</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4872</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11393</v>
      </c>
    </row>
    <row r="1788" spans="1:2" x14ac:dyDescent="0.25">
      <c r="A1788" s="57">
        <v>22101530</v>
      </c>
      <c r="B1788" s="58" t="s">
        <v>9702</v>
      </c>
    </row>
    <row r="1789" spans="1:2" x14ac:dyDescent="0.25">
      <c r="A1789" s="57">
        <v>22101531</v>
      </c>
      <c r="B1789" s="58" t="s">
        <v>10825</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6238</v>
      </c>
    </row>
    <row r="1800" spans="1:2" x14ac:dyDescent="0.25">
      <c r="A1800" s="57">
        <v>22101609</v>
      </c>
      <c r="B1800" s="58" t="s">
        <v>7746</v>
      </c>
    </row>
    <row r="1801" spans="1:2" x14ac:dyDescent="0.25">
      <c r="A1801" s="57">
        <v>22101610</v>
      </c>
      <c r="B1801" s="58" t="s">
        <v>16427</v>
      </c>
    </row>
    <row r="1802" spans="1:2" x14ac:dyDescent="0.25">
      <c r="A1802" s="57">
        <v>22101611</v>
      </c>
      <c r="B1802" s="58" t="s">
        <v>10409</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11837</v>
      </c>
    </row>
    <row r="1813" spans="1:2" x14ac:dyDescent="0.25">
      <c r="A1813" s="57">
        <v>22101702</v>
      </c>
      <c r="B1813" s="58" t="s">
        <v>17736</v>
      </c>
    </row>
    <row r="1814" spans="1:2" x14ac:dyDescent="0.25">
      <c r="A1814" s="57">
        <v>22101703</v>
      </c>
      <c r="B1814" s="58" t="s">
        <v>9761</v>
      </c>
    </row>
    <row r="1815" spans="1:2" x14ac:dyDescent="0.25">
      <c r="A1815" s="57">
        <v>22101704</v>
      </c>
      <c r="B1815" s="58" t="s">
        <v>13120</v>
      </c>
    </row>
    <row r="1816" spans="1:2" x14ac:dyDescent="0.25">
      <c r="A1816" s="57">
        <v>22101705</v>
      </c>
      <c r="B1816" s="58" t="s">
        <v>9784</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9976</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10086</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12450</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11812</v>
      </c>
    </row>
    <row r="1836" spans="1:2" x14ac:dyDescent="0.25">
      <c r="A1836" s="57">
        <v>22101901</v>
      </c>
      <c r="B1836" s="58" t="s">
        <v>17269</v>
      </c>
    </row>
    <row r="1837" spans="1:2" x14ac:dyDescent="0.25">
      <c r="A1837" s="57">
        <v>22101902</v>
      </c>
      <c r="B1837" s="58" t="s">
        <v>12999</v>
      </c>
    </row>
    <row r="1838" spans="1:2" x14ac:dyDescent="0.25">
      <c r="A1838" s="57">
        <v>22101903</v>
      </c>
      <c r="B1838" s="58" t="s">
        <v>18704</v>
      </c>
    </row>
    <row r="1839" spans="1:2" x14ac:dyDescent="0.25">
      <c r="A1839" s="57">
        <v>22101904</v>
      </c>
      <c r="B1839" s="58" t="s">
        <v>5308</v>
      </c>
    </row>
    <row r="1840" spans="1:2" x14ac:dyDescent="0.25">
      <c r="A1840" s="57">
        <v>22101905</v>
      </c>
      <c r="B1840" s="58" t="s">
        <v>5568</v>
      </c>
    </row>
    <row r="1841" spans="1:2" x14ac:dyDescent="0.25">
      <c r="A1841" s="57">
        <v>22101906</v>
      </c>
      <c r="B1841" s="58" t="s">
        <v>10837</v>
      </c>
    </row>
    <row r="1842" spans="1:2" x14ac:dyDescent="0.25">
      <c r="A1842" s="57">
        <v>22101907</v>
      </c>
      <c r="B1842" s="58" t="s">
        <v>8196</v>
      </c>
    </row>
    <row r="1843" spans="1:2" x14ac:dyDescent="0.25">
      <c r="A1843" s="57">
        <v>22102001</v>
      </c>
      <c r="B1843" s="58" t="s">
        <v>1068</v>
      </c>
    </row>
    <row r="1844" spans="1:2" x14ac:dyDescent="0.25">
      <c r="A1844" s="57">
        <v>23101501</v>
      </c>
      <c r="B1844" s="58" t="s">
        <v>13230</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10544</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13978</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14729</v>
      </c>
    </row>
    <row r="1865" spans="1:2" x14ac:dyDescent="0.25">
      <c r="A1865" s="57">
        <v>23101522</v>
      </c>
      <c r="B1865" s="58" t="s">
        <v>14136</v>
      </c>
    </row>
    <row r="1866" spans="1:2" x14ac:dyDescent="0.25">
      <c r="A1866" s="57">
        <v>23111501</v>
      </c>
      <c r="B1866" s="58" t="s">
        <v>5377</v>
      </c>
    </row>
    <row r="1867" spans="1:2" x14ac:dyDescent="0.25">
      <c r="A1867" s="57">
        <v>23111502</v>
      </c>
      <c r="B1867" s="58" t="s">
        <v>36</v>
      </c>
    </row>
    <row r="1868" spans="1:2" x14ac:dyDescent="0.25">
      <c r="A1868" s="57">
        <v>23111503</v>
      </c>
      <c r="B1868" s="58" t="s">
        <v>10660</v>
      </c>
    </row>
    <row r="1869" spans="1:2" x14ac:dyDescent="0.25">
      <c r="A1869" s="57">
        <v>23111504</v>
      </c>
      <c r="B1869" s="58" t="s">
        <v>18536</v>
      </c>
    </row>
    <row r="1870" spans="1:2" x14ac:dyDescent="0.25">
      <c r="A1870" s="57">
        <v>23111505</v>
      </c>
      <c r="B1870" s="58" t="s">
        <v>4563</v>
      </c>
    </row>
    <row r="1871" spans="1:2" x14ac:dyDescent="0.25">
      <c r="A1871" s="57">
        <v>23111506</v>
      </c>
      <c r="B1871" s="58" t="s">
        <v>14424</v>
      </c>
    </row>
    <row r="1872" spans="1:2" x14ac:dyDescent="0.25">
      <c r="A1872" s="57">
        <v>23111507</v>
      </c>
      <c r="B1872" s="58" t="s">
        <v>17914</v>
      </c>
    </row>
    <row r="1873" spans="1:2" x14ac:dyDescent="0.25">
      <c r="A1873" s="57">
        <v>23111601</v>
      </c>
      <c r="B1873" s="58" t="s">
        <v>13256</v>
      </c>
    </row>
    <row r="1874" spans="1:2" x14ac:dyDescent="0.25">
      <c r="A1874" s="57">
        <v>23111602</v>
      </c>
      <c r="B1874" s="58" t="s">
        <v>12196</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9974</v>
      </c>
    </row>
    <row r="1882" spans="1:2" x14ac:dyDescent="0.25">
      <c r="A1882" s="57">
        <v>23121504</v>
      </c>
      <c r="B1882" s="58" t="s">
        <v>8666</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9887</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12579</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14431</v>
      </c>
    </row>
    <row r="1898" spans="1:2" x14ac:dyDescent="0.25">
      <c r="A1898" s="57">
        <v>23121610</v>
      </c>
      <c r="B1898" s="58" t="s">
        <v>8787</v>
      </c>
    </row>
    <row r="1899" spans="1:2" x14ac:dyDescent="0.25">
      <c r="A1899" s="57">
        <v>23121611</v>
      </c>
      <c r="B1899" s="58" t="s">
        <v>10398</v>
      </c>
    </row>
    <row r="1900" spans="1:2" x14ac:dyDescent="0.25">
      <c r="A1900" s="57">
        <v>23121612</v>
      </c>
      <c r="B1900" s="58" t="s">
        <v>17586</v>
      </c>
    </row>
    <row r="1901" spans="1:2" x14ac:dyDescent="0.25">
      <c r="A1901" s="57">
        <v>23121613</v>
      </c>
      <c r="B1901" s="58" t="s">
        <v>4684</v>
      </c>
    </row>
    <row r="1902" spans="1:2" x14ac:dyDescent="0.25">
      <c r="A1902" s="57">
        <v>23121614</v>
      </c>
      <c r="B1902" s="58" t="s">
        <v>15767</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10415</v>
      </c>
    </row>
    <row r="1908" spans="1:2" x14ac:dyDescent="0.25">
      <c r="A1908" s="57">
        <v>23131505</v>
      </c>
      <c r="B1908" s="58" t="s">
        <v>13537</v>
      </c>
    </row>
    <row r="1909" spans="1:2" x14ac:dyDescent="0.25">
      <c r="A1909" s="57">
        <v>23131506</v>
      </c>
      <c r="B1909" s="58" t="s">
        <v>6769</v>
      </c>
    </row>
    <row r="1910" spans="1:2" x14ac:dyDescent="0.25">
      <c r="A1910" s="57">
        <v>23131507</v>
      </c>
      <c r="B1910" s="58" t="s">
        <v>9505</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9703</v>
      </c>
    </row>
    <row r="1921" spans="1:2" x14ac:dyDescent="0.25">
      <c r="A1921" s="57">
        <v>23131603</v>
      </c>
      <c r="B1921" s="58" t="s">
        <v>9426</v>
      </c>
    </row>
    <row r="1922" spans="1:2" x14ac:dyDescent="0.25">
      <c r="A1922" s="57">
        <v>23131604</v>
      </c>
      <c r="B1922" s="58" t="s">
        <v>15726</v>
      </c>
    </row>
    <row r="1923" spans="1:2" x14ac:dyDescent="0.25">
      <c r="A1923" s="57">
        <v>23131701</v>
      </c>
      <c r="B1923" s="58" t="s">
        <v>10925</v>
      </c>
    </row>
    <row r="1924" spans="1:2" x14ac:dyDescent="0.25">
      <c r="A1924" s="57">
        <v>23131702</v>
      </c>
      <c r="B1924" s="58" t="s">
        <v>14560</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12693</v>
      </c>
    </row>
    <row r="1933" spans="1:2" x14ac:dyDescent="0.25">
      <c r="A1933" s="57">
        <v>23141702</v>
      </c>
      <c r="B1933" s="58" t="s">
        <v>9853</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10344</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13073</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12303</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13772</v>
      </c>
    </row>
    <row r="1965" spans="1:2" x14ac:dyDescent="0.25">
      <c r="A1965" s="57">
        <v>23151803</v>
      </c>
      <c r="B1965" s="58" t="s">
        <v>15944</v>
      </c>
    </row>
    <row r="1966" spans="1:2" x14ac:dyDescent="0.25">
      <c r="A1966" s="57">
        <v>23151804</v>
      </c>
      <c r="B1966" s="58" t="s">
        <v>11949</v>
      </c>
    </row>
    <row r="1967" spans="1:2" x14ac:dyDescent="0.25">
      <c r="A1967" s="57">
        <v>23151805</v>
      </c>
      <c r="B1967" s="58" t="s">
        <v>10601</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6037</v>
      </c>
    </row>
    <row r="1973" spans="1:2" x14ac:dyDescent="0.25">
      <c r="A1973" s="57">
        <v>23151811</v>
      </c>
      <c r="B1973" s="58" t="s">
        <v>10664</v>
      </c>
    </row>
    <row r="1974" spans="1:2" x14ac:dyDescent="0.25">
      <c r="A1974" s="57">
        <v>23151812</v>
      </c>
      <c r="B1974" s="58" t="s">
        <v>6749</v>
      </c>
    </row>
    <row r="1975" spans="1:2" x14ac:dyDescent="0.25">
      <c r="A1975" s="57">
        <v>23151813</v>
      </c>
      <c r="B1975" s="58" t="s">
        <v>12441</v>
      </c>
    </row>
    <row r="1976" spans="1:2" x14ac:dyDescent="0.25">
      <c r="A1976" s="57">
        <v>23151814</v>
      </c>
      <c r="B1976" s="58" t="s">
        <v>15009</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15587</v>
      </c>
    </row>
    <row r="1982" spans="1:2" x14ac:dyDescent="0.25">
      <c r="A1982" s="57">
        <v>23151821</v>
      </c>
      <c r="B1982" s="58" t="s">
        <v>4521</v>
      </c>
    </row>
    <row r="1983" spans="1:2" x14ac:dyDescent="0.25">
      <c r="A1983" s="57">
        <v>23151822</v>
      </c>
      <c r="B1983" s="58" t="s">
        <v>11852</v>
      </c>
    </row>
    <row r="1984" spans="1:2" x14ac:dyDescent="0.25">
      <c r="A1984" s="57">
        <v>23151823</v>
      </c>
      <c r="B1984" s="58" t="s">
        <v>13137</v>
      </c>
    </row>
    <row r="1985" spans="1:2" x14ac:dyDescent="0.25">
      <c r="A1985" s="57">
        <v>23151901</v>
      </c>
      <c r="B1985" s="58" t="s">
        <v>11931</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11916</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11188</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9845</v>
      </c>
    </row>
    <row r="1998" spans="1:2" x14ac:dyDescent="0.25">
      <c r="A1998" s="57">
        <v>23152202</v>
      </c>
      <c r="B1998" s="58" t="s">
        <v>10131</v>
      </c>
    </row>
    <row r="1999" spans="1:2" x14ac:dyDescent="0.25">
      <c r="A1999" s="57">
        <v>23152203</v>
      </c>
      <c r="B1999" s="58" t="s">
        <v>6251</v>
      </c>
    </row>
    <row r="2000" spans="1:2" x14ac:dyDescent="0.25">
      <c r="A2000" s="57">
        <v>23152204</v>
      </c>
      <c r="B2000" s="58" t="s">
        <v>11020</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11974</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10841</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10849</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10629</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17294</v>
      </c>
    </row>
    <row r="2043" spans="1:2" x14ac:dyDescent="0.25">
      <c r="A2043" s="57">
        <v>23153035</v>
      </c>
      <c r="B2043" s="58" t="s">
        <v>4321</v>
      </c>
    </row>
    <row r="2044" spans="1:2" x14ac:dyDescent="0.25">
      <c r="A2044" s="57">
        <v>23153036</v>
      </c>
      <c r="B2044" s="58" t="s">
        <v>13914</v>
      </c>
    </row>
    <row r="2045" spans="1:2" x14ac:dyDescent="0.25">
      <c r="A2045" s="57">
        <v>23153037</v>
      </c>
      <c r="B2045" s="58" t="s">
        <v>3030</v>
      </c>
    </row>
    <row r="2046" spans="1:2" x14ac:dyDescent="0.25">
      <c r="A2046" s="57">
        <v>23153101</v>
      </c>
      <c r="B2046" s="58" t="s">
        <v>9782</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10531</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10903</v>
      </c>
    </row>
    <row r="2061" spans="1:2" x14ac:dyDescent="0.25">
      <c r="A2061" s="57">
        <v>23153201</v>
      </c>
      <c r="B2061" s="58" t="s">
        <v>10339</v>
      </c>
    </row>
    <row r="2062" spans="1:2" x14ac:dyDescent="0.25">
      <c r="A2062" s="57">
        <v>23153202</v>
      </c>
      <c r="B2062" s="58" t="s">
        <v>11814</v>
      </c>
    </row>
    <row r="2063" spans="1:2" x14ac:dyDescent="0.25">
      <c r="A2063" s="57">
        <v>23153203</v>
      </c>
      <c r="B2063" s="58" t="s">
        <v>18508</v>
      </c>
    </row>
    <row r="2064" spans="1:2" x14ac:dyDescent="0.25">
      <c r="A2064" s="57">
        <v>23153204</v>
      </c>
      <c r="B2064" s="58" t="s">
        <v>9528</v>
      </c>
    </row>
    <row r="2065" spans="1:2" x14ac:dyDescent="0.25">
      <c r="A2065" s="57">
        <v>23153301</v>
      </c>
      <c r="B2065" s="58" t="s">
        <v>17763</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7693</v>
      </c>
    </row>
    <row r="2075" spans="1:2" x14ac:dyDescent="0.25">
      <c r="A2075" s="57">
        <v>23153312</v>
      </c>
      <c r="B2075" s="58" t="s">
        <v>17288</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10647</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5294</v>
      </c>
    </row>
    <row r="2094" spans="1:2" x14ac:dyDescent="0.25">
      <c r="A2094" s="57">
        <v>23153501</v>
      </c>
      <c r="B2094" s="58" t="s">
        <v>2328</v>
      </c>
    </row>
    <row r="2095" spans="1:2" x14ac:dyDescent="0.25">
      <c r="A2095" s="57">
        <v>23153502</v>
      </c>
      <c r="B2095" s="58" t="s">
        <v>12098</v>
      </c>
    </row>
    <row r="2096" spans="1:2" x14ac:dyDescent="0.25">
      <c r="A2096" s="57">
        <v>23153503</v>
      </c>
      <c r="B2096" s="58" t="s">
        <v>3168</v>
      </c>
    </row>
    <row r="2097" spans="1:2" x14ac:dyDescent="0.25">
      <c r="A2097" s="57">
        <v>23153504</v>
      </c>
      <c r="B2097" s="58" t="s">
        <v>18675</v>
      </c>
    </row>
    <row r="2098" spans="1:2" x14ac:dyDescent="0.25">
      <c r="A2098" s="57">
        <v>23153505</v>
      </c>
      <c r="B2098" s="58" t="s">
        <v>12820</v>
      </c>
    </row>
    <row r="2099" spans="1:2" x14ac:dyDescent="0.25">
      <c r="A2099" s="57">
        <v>23153506</v>
      </c>
      <c r="B2099" s="58" t="s">
        <v>882</v>
      </c>
    </row>
    <row r="2100" spans="1:2" x14ac:dyDescent="0.25">
      <c r="A2100" s="57">
        <v>23153507</v>
      </c>
      <c r="B2100" s="58" t="s">
        <v>14604</v>
      </c>
    </row>
    <row r="2101" spans="1:2" x14ac:dyDescent="0.25">
      <c r="A2101" s="57">
        <v>23153508</v>
      </c>
      <c r="B2101" s="58" t="s">
        <v>11323</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10686</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11970</v>
      </c>
    </row>
    <row r="2111" spans="1:2" x14ac:dyDescent="0.25">
      <c r="A2111" s="57">
        <v>23161511</v>
      </c>
      <c r="B2111" s="58" t="s">
        <v>2536</v>
      </c>
    </row>
    <row r="2112" spans="1:2" x14ac:dyDescent="0.25">
      <c r="A2112" s="57">
        <v>23161512</v>
      </c>
      <c r="B2112" s="58" t="s">
        <v>12574</v>
      </c>
    </row>
    <row r="2113" spans="1:2" x14ac:dyDescent="0.25">
      <c r="A2113" s="57">
        <v>23161513</v>
      </c>
      <c r="B2113" s="58" t="s">
        <v>11638</v>
      </c>
    </row>
    <row r="2114" spans="1:2" x14ac:dyDescent="0.25">
      <c r="A2114" s="57">
        <v>23161514</v>
      </c>
      <c r="B2114" s="58" t="s">
        <v>18696</v>
      </c>
    </row>
    <row r="2115" spans="1:2" x14ac:dyDescent="0.25">
      <c r="A2115" s="57">
        <v>23161515</v>
      </c>
      <c r="B2115" s="58" t="s">
        <v>8576</v>
      </c>
    </row>
    <row r="2116" spans="1:2" x14ac:dyDescent="0.25">
      <c r="A2116" s="57">
        <v>23161601</v>
      </c>
      <c r="B2116" s="58" t="s">
        <v>15138</v>
      </c>
    </row>
    <row r="2117" spans="1:2" x14ac:dyDescent="0.25">
      <c r="A2117" s="57">
        <v>23161602</v>
      </c>
      <c r="B2117" s="58" t="s">
        <v>17817</v>
      </c>
    </row>
    <row r="2118" spans="1:2" x14ac:dyDescent="0.25">
      <c r="A2118" s="57">
        <v>23161603</v>
      </c>
      <c r="B2118" s="58" t="s">
        <v>4115</v>
      </c>
    </row>
    <row r="2119" spans="1:2" x14ac:dyDescent="0.25">
      <c r="A2119" s="57">
        <v>23161605</v>
      </c>
      <c r="B2119" s="58" t="s">
        <v>8295</v>
      </c>
    </row>
    <row r="2120" spans="1:2" x14ac:dyDescent="0.25">
      <c r="A2120" s="57">
        <v>23161606</v>
      </c>
      <c r="B2120" s="58" t="s">
        <v>11270</v>
      </c>
    </row>
    <row r="2121" spans="1:2" x14ac:dyDescent="0.25">
      <c r="A2121" s="57">
        <v>23161607</v>
      </c>
      <c r="B2121" s="58" t="s">
        <v>6036</v>
      </c>
    </row>
    <row r="2122" spans="1:2" x14ac:dyDescent="0.25">
      <c r="A2122" s="57">
        <v>23161608</v>
      </c>
      <c r="B2122" s="58" t="s">
        <v>10144</v>
      </c>
    </row>
    <row r="2123" spans="1:2" x14ac:dyDescent="0.25">
      <c r="A2123" s="57">
        <v>23171501</v>
      </c>
      <c r="B2123" s="58" t="s">
        <v>13400</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17720</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10568</v>
      </c>
    </row>
    <row r="2134" spans="1:2" x14ac:dyDescent="0.25">
      <c r="A2134" s="57">
        <v>23171513</v>
      </c>
      <c r="B2134" s="58" t="s">
        <v>5939</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13407</v>
      </c>
    </row>
    <row r="2142" spans="1:2" x14ac:dyDescent="0.25">
      <c r="A2142" s="57">
        <v>23171522</v>
      </c>
      <c r="B2142" s="58" t="s">
        <v>15973</v>
      </c>
    </row>
    <row r="2143" spans="1:2" x14ac:dyDescent="0.25">
      <c r="A2143" s="57">
        <v>23171523</v>
      </c>
      <c r="B2143" s="58" t="s">
        <v>7385</v>
      </c>
    </row>
    <row r="2144" spans="1:2" x14ac:dyDescent="0.25">
      <c r="A2144" s="57">
        <v>23171524</v>
      </c>
      <c r="B2144" s="58" t="s">
        <v>10218</v>
      </c>
    </row>
    <row r="2145" spans="1:2" x14ac:dyDescent="0.25">
      <c r="A2145" s="57">
        <v>23171525</v>
      </c>
      <c r="B2145" s="58" t="s">
        <v>17801</v>
      </c>
    </row>
    <row r="2146" spans="1:2" x14ac:dyDescent="0.25">
      <c r="A2146" s="57">
        <v>23171526</v>
      </c>
      <c r="B2146" s="58" t="s">
        <v>6303</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17605</v>
      </c>
    </row>
    <row r="2151" spans="1:2" x14ac:dyDescent="0.25">
      <c r="A2151" s="57">
        <v>23171531</v>
      </c>
      <c r="B2151" s="58" t="s">
        <v>10313</v>
      </c>
    </row>
    <row r="2152" spans="1:2" x14ac:dyDescent="0.25">
      <c r="A2152" s="57">
        <v>23171532</v>
      </c>
      <c r="B2152" s="58" t="s">
        <v>6736</v>
      </c>
    </row>
    <row r="2153" spans="1:2" x14ac:dyDescent="0.25">
      <c r="A2153" s="57">
        <v>23171533</v>
      </c>
      <c r="B2153" s="58" t="s">
        <v>13597</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12163</v>
      </c>
    </row>
    <row r="2164" spans="1:2" x14ac:dyDescent="0.25">
      <c r="A2164" s="57">
        <v>23171604</v>
      </c>
      <c r="B2164" s="58" t="s">
        <v>14999</v>
      </c>
    </row>
    <row r="2165" spans="1:2" x14ac:dyDescent="0.25">
      <c r="A2165" s="57">
        <v>23171605</v>
      </c>
      <c r="B2165" s="58" t="s">
        <v>16829</v>
      </c>
    </row>
    <row r="2166" spans="1:2" x14ac:dyDescent="0.25">
      <c r="A2166" s="57">
        <v>23171606</v>
      </c>
      <c r="B2166" s="58" t="s">
        <v>14470</v>
      </c>
    </row>
    <row r="2167" spans="1:2" x14ac:dyDescent="0.25">
      <c r="A2167" s="57">
        <v>23171607</v>
      </c>
      <c r="B2167" s="58" t="s">
        <v>11432</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11137</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11341</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10611</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9946</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11136</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9763</v>
      </c>
    </row>
    <row r="2203" spans="1:2" x14ac:dyDescent="0.25">
      <c r="A2203" s="57">
        <v>23171906</v>
      </c>
      <c r="B2203" s="58" t="s">
        <v>1680</v>
      </c>
    </row>
    <row r="2204" spans="1:2" x14ac:dyDescent="0.25">
      <c r="A2204" s="57">
        <v>23172001</v>
      </c>
      <c r="B2204" s="58" t="s">
        <v>10802</v>
      </c>
    </row>
    <row r="2205" spans="1:2" x14ac:dyDescent="0.25">
      <c r="A2205" s="57">
        <v>23172002</v>
      </c>
      <c r="B2205" s="58" t="s">
        <v>2021</v>
      </c>
    </row>
    <row r="2206" spans="1:2" x14ac:dyDescent="0.25">
      <c r="A2206" s="57">
        <v>23172003</v>
      </c>
      <c r="B2206" s="58" t="s">
        <v>14453</v>
      </c>
    </row>
    <row r="2207" spans="1:2" x14ac:dyDescent="0.25">
      <c r="A2207" s="57">
        <v>23172005</v>
      </c>
      <c r="B2207" s="58" t="s">
        <v>10075</v>
      </c>
    </row>
    <row r="2208" spans="1:2" x14ac:dyDescent="0.25">
      <c r="A2208" s="57">
        <v>23172006</v>
      </c>
      <c r="B2208" s="58" t="s">
        <v>1379</v>
      </c>
    </row>
    <row r="2209" spans="1:2" x14ac:dyDescent="0.25">
      <c r="A2209" s="57">
        <v>23172007</v>
      </c>
      <c r="B2209" s="58" t="s">
        <v>4864</v>
      </c>
    </row>
    <row r="2210" spans="1:2" x14ac:dyDescent="0.25">
      <c r="A2210" s="57">
        <v>23172008</v>
      </c>
      <c r="B2210" s="58" t="s">
        <v>11052</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10448</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10179</v>
      </c>
    </row>
    <row r="2226" spans="1:2" x14ac:dyDescent="0.25">
      <c r="A2226" s="57">
        <v>23181510</v>
      </c>
      <c r="B2226" s="58" t="s">
        <v>18004</v>
      </c>
    </row>
    <row r="2227" spans="1:2" x14ac:dyDescent="0.25">
      <c r="A2227" s="57">
        <v>23181511</v>
      </c>
      <c r="B2227" s="58" t="s">
        <v>10882</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10878</v>
      </c>
    </row>
    <row r="2237" spans="1:2" x14ac:dyDescent="0.25">
      <c r="A2237" s="57">
        <v>23181702</v>
      </c>
      <c r="B2237" s="58" t="s">
        <v>13556</v>
      </c>
    </row>
    <row r="2238" spans="1:2" x14ac:dyDescent="0.25">
      <c r="A2238" s="57">
        <v>23181703</v>
      </c>
      <c r="B2238" s="58" t="s">
        <v>9424</v>
      </c>
    </row>
    <row r="2239" spans="1:2" x14ac:dyDescent="0.25">
      <c r="A2239" s="57">
        <v>23181704</v>
      </c>
      <c r="B2239" s="58" t="s">
        <v>7298</v>
      </c>
    </row>
    <row r="2240" spans="1:2" x14ac:dyDescent="0.25">
      <c r="A2240" s="57">
        <v>23181801</v>
      </c>
      <c r="B2240" s="58" t="s">
        <v>13848</v>
      </c>
    </row>
    <row r="2241" spans="1:2" x14ac:dyDescent="0.25">
      <c r="A2241" s="57">
        <v>23181802</v>
      </c>
      <c r="B2241" s="58" t="s">
        <v>11570</v>
      </c>
    </row>
    <row r="2242" spans="1:2" x14ac:dyDescent="0.25">
      <c r="A2242" s="57">
        <v>23181803</v>
      </c>
      <c r="B2242" s="58" t="s">
        <v>13911</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18751</v>
      </c>
    </row>
    <row r="2247" spans="1:2" x14ac:dyDescent="0.25">
      <c r="A2247" s="57">
        <v>23191004</v>
      </c>
      <c r="B2247" s="58" t="s">
        <v>11688</v>
      </c>
    </row>
    <row r="2248" spans="1:2" x14ac:dyDescent="0.25">
      <c r="A2248" s="57">
        <v>23191005</v>
      </c>
      <c r="B2248" s="58" t="s">
        <v>7400</v>
      </c>
    </row>
    <row r="2249" spans="1:2" x14ac:dyDescent="0.25">
      <c r="A2249" s="57">
        <v>23191101</v>
      </c>
      <c r="B2249" s="58" t="s">
        <v>13964</v>
      </c>
    </row>
    <row r="2250" spans="1:2" x14ac:dyDescent="0.25">
      <c r="A2250" s="57">
        <v>23191102</v>
      </c>
      <c r="B2250" s="58" t="s">
        <v>6581</v>
      </c>
    </row>
    <row r="2251" spans="1:2" x14ac:dyDescent="0.25">
      <c r="A2251" s="57">
        <v>23191201</v>
      </c>
      <c r="B2251" s="58" t="s">
        <v>13022</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12342</v>
      </c>
    </row>
    <row r="2259" spans="1:2" x14ac:dyDescent="0.25">
      <c r="A2259" s="57">
        <v>23201102</v>
      </c>
      <c r="B2259" s="58" t="s">
        <v>489</v>
      </c>
    </row>
    <row r="2260" spans="1:2" x14ac:dyDescent="0.25">
      <c r="A2260" s="57">
        <v>23201201</v>
      </c>
      <c r="B2260" s="58" t="s">
        <v>12688</v>
      </c>
    </row>
    <row r="2261" spans="1:2" x14ac:dyDescent="0.25">
      <c r="A2261" s="57">
        <v>23201202</v>
      </c>
      <c r="B2261" s="58" t="s">
        <v>18025</v>
      </c>
    </row>
    <row r="2262" spans="1:2" x14ac:dyDescent="0.25">
      <c r="A2262" s="57">
        <v>23211001</v>
      </c>
      <c r="B2262" s="58" t="s">
        <v>12000</v>
      </c>
    </row>
    <row r="2263" spans="1:2" x14ac:dyDescent="0.25">
      <c r="A2263" s="57">
        <v>23211002</v>
      </c>
      <c r="B2263" s="58" t="s">
        <v>1597</v>
      </c>
    </row>
    <row r="2264" spans="1:2" x14ac:dyDescent="0.25">
      <c r="A2264" s="57">
        <v>23211101</v>
      </c>
      <c r="B2264" s="58" t="s">
        <v>10982</v>
      </c>
    </row>
    <row r="2265" spans="1:2" x14ac:dyDescent="0.25">
      <c r="A2265" s="57">
        <v>23221001</v>
      </c>
      <c r="B2265" s="58" t="s">
        <v>1441</v>
      </c>
    </row>
    <row r="2266" spans="1:2" x14ac:dyDescent="0.25">
      <c r="A2266" s="57">
        <v>23221002</v>
      </c>
      <c r="B2266" s="58" t="s">
        <v>6199</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12893</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14060</v>
      </c>
    </row>
    <row r="2278" spans="1:2" x14ac:dyDescent="0.25">
      <c r="A2278" s="57">
        <v>23231402</v>
      </c>
      <c r="B2278" s="58" t="s">
        <v>15485</v>
      </c>
    </row>
    <row r="2279" spans="1:2" x14ac:dyDescent="0.25">
      <c r="A2279" s="57">
        <v>23231501</v>
      </c>
      <c r="B2279" s="58" t="s">
        <v>12114</v>
      </c>
    </row>
    <row r="2280" spans="1:2" x14ac:dyDescent="0.25">
      <c r="A2280" s="57">
        <v>23231502</v>
      </c>
      <c r="B2280" s="58" t="s">
        <v>4118</v>
      </c>
    </row>
    <row r="2281" spans="1:2" x14ac:dyDescent="0.25">
      <c r="A2281" s="57">
        <v>23231601</v>
      </c>
      <c r="B2281" s="58" t="s">
        <v>10947</v>
      </c>
    </row>
    <row r="2282" spans="1:2" x14ac:dyDescent="0.25">
      <c r="A2282" s="57">
        <v>23231602</v>
      </c>
      <c r="B2282" s="58" t="s">
        <v>8696</v>
      </c>
    </row>
    <row r="2283" spans="1:2" x14ac:dyDescent="0.25">
      <c r="A2283" s="57">
        <v>23231701</v>
      </c>
      <c r="B2283" s="58" t="s">
        <v>10677</v>
      </c>
    </row>
    <row r="2284" spans="1:2" x14ac:dyDescent="0.25">
      <c r="A2284" s="57">
        <v>23231801</v>
      </c>
      <c r="B2284" s="58" t="s">
        <v>12886</v>
      </c>
    </row>
    <row r="2285" spans="1:2" x14ac:dyDescent="0.25">
      <c r="A2285" s="57">
        <v>23231901</v>
      </c>
      <c r="B2285" s="58" t="s">
        <v>17023</v>
      </c>
    </row>
    <row r="2286" spans="1:2" x14ac:dyDescent="0.25">
      <c r="A2286" s="57">
        <v>23231902</v>
      </c>
      <c r="B2286" s="58" t="s">
        <v>9699</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16039</v>
      </c>
    </row>
    <row r="2297" spans="1:2" x14ac:dyDescent="0.25">
      <c r="A2297" s="57">
        <v>24101507</v>
      </c>
      <c r="B2297" s="58" t="s">
        <v>13756</v>
      </c>
    </row>
    <row r="2298" spans="1:2" x14ac:dyDescent="0.25">
      <c r="A2298" s="57">
        <v>24101508</v>
      </c>
      <c r="B2298" s="58" t="s">
        <v>2050</v>
      </c>
    </row>
    <row r="2299" spans="1:2" x14ac:dyDescent="0.25">
      <c r="A2299" s="57">
        <v>24101509</v>
      </c>
      <c r="B2299" s="58" t="s">
        <v>4503</v>
      </c>
    </row>
    <row r="2300" spans="1:2" x14ac:dyDescent="0.25">
      <c r="A2300" s="57">
        <v>24101510</v>
      </c>
      <c r="B2300" s="58" t="s">
        <v>12426</v>
      </c>
    </row>
    <row r="2301" spans="1:2" x14ac:dyDescent="0.25">
      <c r="A2301" s="57">
        <v>24101511</v>
      </c>
      <c r="B2301" s="58" t="s">
        <v>3700</v>
      </c>
    </row>
    <row r="2302" spans="1:2" x14ac:dyDescent="0.25">
      <c r="A2302" s="57">
        <v>24101512</v>
      </c>
      <c r="B2302" s="58" t="s">
        <v>12375</v>
      </c>
    </row>
    <row r="2303" spans="1:2" x14ac:dyDescent="0.25">
      <c r="A2303" s="57">
        <v>24101601</v>
      </c>
      <c r="B2303" s="58" t="s">
        <v>18368</v>
      </c>
    </row>
    <row r="2304" spans="1:2" x14ac:dyDescent="0.25">
      <c r="A2304" s="57">
        <v>24101602</v>
      </c>
      <c r="B2304" s="58" t="s">
        <v>11711</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12130</v>
      </c>
    </row>
    <row r="2315" spans="1:2" x14ac:dyDescent="0.25">
      <c r="A2315" s="57">
        <v>24101614</v>
      </c>
      <c r="B2315" s="58" t="s">
        <v>11098</v>
      </c>
    </row>
    <row r="2316" spans="1:2" x14ac:dyDescent="0.25">
      <c r="A2316" s="57">
        <v>24101615</v>
      </c>
      <c r="B2316" s="58" t="s">
        <v>12636</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9679</v>
      </c>
    </row>
    <row r="2321" spans="1:2" x14ac:dyDescent="0.25">
      <c r="A2321" s="57">
        <v>24101620</v>
      </c>
      <c r="B2321" s="58" t="s">
        <v>14588</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13190</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9787</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12964</v>
      </c>
    </row>
    <row r="2350" spans="1:2" x14ac:dyDescent="0.25">
      <c r="A2350" s="57">
        <v>24101715</v>
      </c>
      <c r="B2350" s="58" t="s">
        <v>5947</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13812</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9886</v>
      </c>
    </row>
    <row r="2368" spans="1:2" x14ac:dyDescent="0.25">
      <c r="A2368" s="57">
        <v>24101806</v>
      </c>
      <c r="B2368" s="58" t="s">
        <v>13484</v>
      </c>
    </row>
    <row r="2369" spans="1:2" x14ac:dyDescent="0.25">
      <c r="A2369" s="57">
        <v>24101807</v>
      </c>
      <c r="B2369" s="58" t="s">
        <v>12264</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12148</v>
      </c>
    </row>
    <row r="2375" spans="1:2" x14ac:dyDescent="0.25">
      <c r="A2375" s="57">
        <v>24101904</v>
      </c>
      <c r="B2375" s="58" t="s">
        <v>5382</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8599</v>
      </c>
    </row>
    <row r="2380" spans="1:2" x14ac:dyDescent="0.25">
      <c r="A2380" s="57">
        <v>24102002</v>
      </c>
      <c r="B2380" s="58" t="s">
        <v>10747</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10478</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13060</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11123</v>
      </c>
    </row>
    <row r="2403" spans="1:2" x14ac:dyDescent="0.25">
      <c r="A2403" s="57">
        <v>24111505</v>
      </c>
      <c r="B2403" s="58" t="s">
        <v>12894</v>
      </c>
    </row>
    <row r="2404" spans="1:2" x14ac:dyDescent="0.25">
      <c r="A2404" s="57">
        <v>24111506</v>
      </c>
      <c r="B2404" s="58" t="s">
        <v>4519</v>
      </c>
    </row>
    <row r="2405" spans="1:2" x14ac:dyDescent="0.25">
      <c r="A2405" s="57">
        <v>24111507</v>
      </c>
      <c r="B2405" s="58" t="s">
        <v>6160</v>
      </c>
    </row>
    <row r="2406" spans="1:2" x14ac:dyDescent="0.25">
      <c r="A2406" s="57">
        <v>24111508</v>
      </c>
      <c r="B2406" s="58" t="s">
        <v>13620</v>
      </c>
    </row>
    <row r="2407" spans="1:2" x14ac:dyDescent="0.25">
      <c r="A2407" s="57">
        <v>24111509</v>
      </c>
      <c r="B2407" s="58" t="s">
        <v>16019</v>
      </c>
    </row>
    <row r="2408" spans="1:2" x14ac:dyDescent="0.25">
      <c r="A2408" s="57">
        <v>24111801</v>
      </c>
      <c r="B2408" s="58" t="s">
        <v>2977</v>
      </c>
    </row>
    <row r="2409" spans="1:2" x14ac:dyDescent="0.25">
      <c r="A2409" s="57">
        <v>24111802</v>
      </c>
      <c r="B2409" s="58" t="s">
        <v>12734</v>
      </c>
    </row>
    <row r="2410" spans="1:2" x14ac:dyDescent="0.25">
      <c r="A2410" s="57">
        <v>24111803</v>
      </c>
      <c r="B2410" s="58" t="s">
        <v>7390</v>
      </c>
    </row>
    <row r="2411" spans="1:2" x14ac:dyDescent="0.25">
      <c r="A2411" s="57">
        <v>24111804</v>
      </c>
      <c r="B2411" s="58" t="s">
        <v>15981</v>
      </c>
    </row>
    <row r="2412" spans="1:2" x14ac:dyDescent="0.25">
      <c r="A2412" s="57">
        <v>24111805</v>
      </c>
      <c r="B2412" s="58" t="s">
        <v>12870</v>
      </c>
    </row>
    <row r="2413" spans="1:2" x14ac:dyDescent="0.25">
      <c r="A2413" s="57">
        <v>24111806</v>
      </c>
      <c r="B2413" s="58" t="s">
        <v>1816</v>
      </c>
    </row>
    <row r="2414" spans="1:2" x14ac:dyDescent="0.25">
      <c r="A2414" s="57">
        <v>24111807</v>
      </c>
      <c r="B2414" s="58" t="s">
        <v>10274</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12524</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12707</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11600</v>
      </c>
    </row>
    <row r="2430" spans="1:2" x14ac:dyDescent="0.25">
      <c r="A2430" s="57">
        <v>24112111</v>
      </c>
      <c r="B2430" s="58" t="s">
        <v>17669</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12118</v>
      </c>
    </row>
    <row r="2440" spans="1:2" x14ac:dyDescent="0.25">
      <c r="A2440" s="57">
        <v>24112403</v>
      </c>
      <c r="B2440" s="58" t="s">
        <v>12195</v>
      </c>
    </row>
    <row r="2441" spans="1:2" x14ac:dyDescent="0.25">
      <c r="A2441" s="57">
        <v>24112404</v>
      </c>
      <c r="B2441" s="58" t="s">
        <v>16988</v>
      </c>
    </row>
    <row r="2442" spans="1:2" x14ac:dyDescent="0.25">
      <c r="A2442" s="57">
        <v>24112405</v>
      </c>
      <c r="B2442" s="58" t="s">
        <v>238</v>
      </c>
    </row>
    <row r="2443" spans="1:2" x14ac:dyDescent="0.25">
      <c r="A2443" s="57">
        <v>24112406</v>
      </c>
      <c r="B2443" s="58" t="s">
        <v>12160</v>
      </c>
    </row>
    <row r="2444" spans="1:2" x14ac:dyDescent="0.25">
      <c r="A2444" s="57">
        <v>24112407</v>
      </c>
      <c r="B2444" s="58" t="s">
        <v>4349</v>
      </c>
    </row>
    <row r="2445" spans="1:2" x14ac:dyDescent="0.25">
      <c r="A2445" s="57">
        <v>24112408</v>
      </c>
      <c r="B2445" s="58" t="s">
        <v>14736</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10938</v>
      </c>
    </row>
    <row r="2455" spans="1:2" x14ac:dyDescent="0.25">
      <c r="A2455" s="57">
        <v>24121503</v>
      </c>
      <c r="B2455" s="58" t="s">
        <v>10930</v>
      </c>
    </row>
    <row r="2456" spans="1:2" x14ac:dyDescent="0.25">
      <c r="A2456" s="57">
        <v>24121504</v>
      </c>
      <c r="B2456" s="58" t="s">
        <v>1373</v>
      </c>
    </row>
    <row r="2457" spans="1:2" x14ac:dyDescent="0.25">
      <c r="A2457" s="57">
        <v>24121506</v>
      </c>
      <c r="B2457" s="58" t="s">
        <v>4515</v>
      </c>
    </row>
    <row r="2458" spans="1:2" x14ac:dyDescent="0.25">
      <c r="A2458" s="57">
        <v>24121507</v>
      </c>
      <c r="B2458" s="58" t="s">
        <v>12564</v>
      </c>
    </row>
    <row r="2459" spans="1:2" x14ac:dyDescent="0.25">
      <c r="A2459" s="57">
        <v>24121508</v>
      </c>
      <c r="B2459" s="58" t="s">
        <v>2766</v>
      </c>
    </row>
    <row r="2460" spans="1:2" x14ac:dyDescent="0.25">
      <c r="A2460" s="57">
        <v>24121509</v>
      </c>
      <c r="B2460" s="58" t="s">
        <v>3782</v>
      </c>
    </row>
    <row r="2461" spans="1:2" x14ac:dyDescent="0.25">
      <c r="A2461" s="57">
        <v>24121801</v>
      </c>
      <c r="B2461" s="58" t="s">
        <v>12352</v>
      </c>
    </row>
    <row r="2462" spans="1:2" x14ac:dyDescent="0.25">
      <c r="A2462" s="57">
        <v>24121802</v>
      </c>
      <c r="B2462" s="58" t="s">
        <v>14236</v>
      </c>
    </row>
    <row r="2463" spans="1:2" x14ac:dyDescent="0.25">
      <c r="A2463" s="57">
        <v>24121803</v>
      </c>
      <c r="B2463" s="58" t="s">
        <v>9662</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10893</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12482</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12457</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4899</v>
      </c>
    </row>
    <row r="2493" spans="1:2" x14ac:dyDescent="0.25">
      <c r="A2493" s="57">
        <v>24141507</v>
      </c>
      <c r="B2493" s="58" t="s">
        <v>13034</v>
      </c>
    </row>
    <row r="2494" spans="1:2" x14ac:dyDescent="0.25">
      <c r="A2494" s="57">
        <v>24141508</v>
      </c>
      <c r="B2494" s="58" t="s">
        <v>7526</v>
      </c>
    </row>
    <row r="2495" spans="1:2" x14ac:dyDescent="0.25">
      <c r="A2495" s="57">
        <v>24141509</v>
      </c>
      <c r="B2495" s="58" t="s">
        <v>10559</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17702</v>
      </c>
    </row>
    <row r="2504" spans="1:2" x14ac:dyDescent="0.25">
      <c r="A2504" s="57">
        <v>24141603</v>
      </c>
      <c r="B2504" s="58" t="s">
        <v>11641</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13522</v>
      </c>
    </row>
    <row r="2514" spans="1:2" x14ac:dyDescent="0.25">
      <c r="A2514" s="57">
        <v>24141705</v>
      </c>
      <c r="B2514" s="58" t="s">
        <v>8233</v>
      </c>
    </row>
    <row r="2515" spans="1:2" x14ac:dyDescent="0.25">
      <c r="A2515" s="57">
        <v>24141706</v>
      </c>
      <c r="B2515" s="58" t="s">
        <v>15729</v>
      </c>
    </row>
    <row r="2516" spans="1:2" x14ac:dyDescent="0.25">
      <c r="A2516" s="57">
        <v>24141707</v>
      </c>
      <c r="B2516" s="58" t="s">
        <v>17496</v>
      </c>
    </row>
    <row r="2517" spans="1:2" x14ac:dyDescent="0.25">
      <c r="A2517" s="57">
        <v>24141708</v>
      </c>
      <c r="B2517" s="58" t="s">
        <v>12106</v>
      </c>
    </row>
    <row r="2518" spans="1:2" x14ac:dyDescent="0.25">
      <c r="A2518" s="57">
        <v>24141709</v>
      </c>
      <c r="B2518" s="58" t="s">
        <v>9537</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9401</v>
      </c>
    </row>
    <row r="2525" spans="1:2" x14ac:dyDescent="0.25">
      <c r="A2525" s="57">
        <v>25101507</v>
      </c>
      <c r="B2525" s="58" t="s">
        <v>14570</v>
      </c>
    </row>
    <row r="2526" spans="1:2" x14ac:dyDescent="0.25">
      <c r="A2526" s="57">
        <v>25101508</v>
      </c>
      <c r="B2526" s="58" t="s">
        <v>13501</v>
      </c>
    </row>
    <row r="2527" spans="1:2" x14ac:dyDescent="0.25">
      <c r="A2527" s="57">
        <v>25101601</v>
      </c>
      <c r="B2527" s="58" t="s">
        <v>15811</v>
      </c>
    </row>
    <row r="2528" spans="1:2" x14ac:dyDescent="0.25">
      <c r="A2528" s="57">
        <v>25101602</v>
      </c>
      <c r="B2528" s="58" t="s">
        <v>11415</v>
      </c>
    </row>
    <row r="2529" spans="1:2" x14ac:dyDescent="0.25">
      <c r="A2529" s="57">
        <v>25101604</v>
      </c>
      <c r="B2529" s="58" t="s">
        <v>10421</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12741</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10969</v>
      </c>
    </row>
    <row r="2549" spans="1:2" x14ac:dyDescent="0.25">
      <c r="A2549" s="57">
        <v>25102003</v>
      </c>
      <c r="B2549" s="58" t="s">
        <v>1497</v>
      </c>
    </row>
    <row r="2550" spans="1:2" x14ac:dyDescent="0.25">
      <c r="A2550" s="57">
        <v>25102101</v>
      </c>
      <c r="B2550" s="58" t="s">
        <v>11548</v>
      </c>
    </row>
    <row r="2551" spans="1:2" x14ac:dyDescent="0.25">
      <c r="A2551" s="57">
        <v>25102102</v>
      </c>
      <c r="B2551" s="58" t="s">
        <v>12936</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12495</v>
      </c>
    </row>
    <row r="2559" spans="1:2" x14ac:dyDescent="0.25">
      <c r="A2559" s="57">
        <v>25111504</v>
      </c>
      <c r="B2559" s="58" t="s">
        <v>15949</v>
      </c>
    </row>
    <row r="2560" spans="1:2" x14ac:dyDescent="0.25">
      <c r="A2560" s="57">
        <v>25111505</v>
      </c>
      <c r="B2560" s="58" t="s">
        <v>16155</v>
      </c>
    </row>
    <row r="2561" spans="1:2" x14ac:dyDescent="0.25">
      <c r="A2561" s="57">
        <v>25111506</v>
      </c>
      <c r="B2561" s="58" t="s">
        <v>11222</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9938</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10800</v>
      </c>
    </row>
    <row r="2570" spans="1:2" x14ac:dyDescent="0.25">
      <c r="A2570" s="57">
        <v>25111602</v>
      </c>
      <c r="B2570" s="58" t="s">
        <v>7279</v>
      </c>
    </row>
    <row r="2571" spans="1:2" x14ac:dyDescent="0.25">
      <c r="A2571" s="57">
        <v>25111603</v>
      </c>
      <c r="B2571" s="58" t="s">
        <v>10012</v>
      </c>
    </row>
    <row r="2572" spans="1:2" x14ac:dyDescent="0.25">
      <c r="A2572" s="57">
        <v>25111701</v>
      </c>
      <c r="B2572" s="58" t="s">
        <v>10877</v>
      </c>
    </row>
    <row r="2573" spans="1:2" x14ac:dyDescent="0.25">
      <c r="A2573" s="57">
        <v>25111702</v>
      </c>
      <c r="B2573" s="58" t="s">
        <v>5982</v>
      </c>
    </row>
    <row r="2574" spans="1:2" x14ac:dyDescent="0.25">
      <c r="A2574" s="57">
        <v>25111703</v>
      </c>
      <c r="B2574" s="58" t="s">
        <v>4399</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10768</v>
      </c>
    </row>
    <row r="2588" spans="1:2" x14ac:dyDescent="0.25">
      <c r="A2588" s="57">
        <v>25111717</v>
      </c>
      <c r="B2588" s="58" t="s">
        <v>4225</v>
      </c>
    </row>
    <row r="2589" spans="1:2" x14ac:dyDescent="0.25">
      <c r="A2589" s="57">
        <v>25111718</v>
      </c>
      <c r="B2589" s="58" t="s">
        <v>14824</v>
      </c>
    </row>
    <row r="2590" spans="1:2" x14ac:dyDescent="0.25">
      <c r="A2590" s="57">
        <v>25111719</v>
      </c>
      <c r="B2590" s="58" t="s">
        <v>14457</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11841</v>
      </c>
    </row>
    <row r="2601" spans="1:2" x14ac:dyDescent="0.25">
      <c r="A2601" s="57">
        <v>25111901</v>
      </c>
      <c r="B2601" s="58" t="s">
        <v>8006</v>
      </c>
    </row>
    <row r="2602" spans="1:2" x14ac:dyDescent="0.25">
      <c r="A2602" s="57">
        <v>25111902</v>
      </c>
      <c r="B2602" s="58" t="s">
        <v>11718</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12726</v>
      </c>
    </row>
    <row r="2607" spans="1:2" x14ac:dyDescent="0.25">
      <c r="A2607" s="57">
        <v>25111907</v>
      </c>
      <c r="B2607" s="58" t="s">
        <v>10926</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11558</v>
      </c>
    </row>
    <row r="2613" spans="1:2" x14ac:dyDescent="0.25">
      <c r="A2613" s="57">
        <v>25111913</v>
      </c>
      <c r="B2613" s="58" t="s">
        <v>1191</v>
      </c>
    </row>
    <row r="2614" spans="1:2" x14ac:dyDescent="0.25">
      <c r="A2614" s="57">
        <v>25111914</v>
      </c>
      <c r="B2614" s="58" t="s">
        <v>12364</v>
      </c>
    </row>
    <row r="2615" spans="1:2" x14ac:dyDescent="0.25">
      <c r="A2615" s="57">
        <v>25111915</v>
      </c>
      <c r="B2615" s="58" t="s">
        <v>7263</v>
      </c>
    </row>
    <row r="2616" spans="1:2" x14ac:dyDescent="0.25">
      <c r="A2616" s="57">
        <v>25111916</v>
      </c>
      <c r="B2616" s="58" t="s">
        <v>9722</v>
      </c>
    </row>
    <row r="2617" spans="1:2" x14ac:dyDescent="0.25">
      <c r="A2617" s="57">
        <v>25111917</v>
      </c>
      <c r="B2617" s="58" t="s">
        <v>11811</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9962</v>
      </c>
    </row>
    <row r="2624" spans="1:2" x14ac:dyDescent="0.25">
      <c r="A2624" s="57">
        <v>25111924</v>
      </c>
      <c r="B2624" s="58" t="s">
        <v>7681</v>
      </c>
    </row>
    <row r="2625" spans="1:2" x14ac:dyDescent="0.25">
      <c r="A2625" s="57">
        <v>25111925</v>
      </c>
      <c r="B2625" s="58" t="s">
        <v>10251</v>
      </c>
    </row>
    <row r="2626" spans="1:2" x14ac:dyDescent="0.25">
      <c r="A2626" s="57">
        <v>25111926</v>
      </c>
      <c r="B2626" s="58" t="s">
        <v>11233</v>
      </c>
    </row>
    <row r="2627" spans="1:2" x14ac:dyDescent="0.25">
      <c r="A2627" s="57">
        <v>25111927</v>
      </c>
      <c r="B2627" s="58" t="s">
        <v>3983</v>
      </c>
    </row>
    <row r="2628" spans="1:2" x14ac:dyDescent="0.25">
      <c r="A2628" s="57">
        <v>25111928</v>
      </c>
      <c r="B2628" s="58" t="s">
        <v>10382</v>
      </c>
    </row>
    <row r="2629" spans="1:2" x14ac:dyDescent="0.25">
      <c r="A2629" s="57">
        <v>25111929</v>
      </c>
      <c r="B2629" s="58" t="s">
        <v>5346</v>
      </c>
    </row>
    <row r="2630" spans="1:2" x14ac:dyDescent="0.25">
      <c r="A2630" s="57">
        <v>25111930</v>
      </c>
      <c r="B2630" s="58" t="s">
        <v>11948</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11982</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11765</v>
      </c>
    </row>
    <row r="2640" spans="1:2" x14ac:dyDescent="0.25">
      <c r="A2640" s="57">
        <v>25121601</v>
      </c>
      <c r="B2640" s="58" t="s">
        <v>12550</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11071</v>
      </c>
    </row>
    <row r="2650" spans="1:2" x14ac:dyDescent="0.25">
      <c r="A2650" s="57">
        <v>25121706</v>
      </c>
      <c r="B2650" s="58" t="s">
        <v>15663</v>
      </c>
    </row>
    <row r="2651" spans="1:2" x14ac:dyDescent="0.25">
      <c r="A2651" s="57">
        <v>25121707</v>
      </c>
      <c r="B2651" s="58" t="s">
        <v>12031</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9899</v>
      </c>
    </row>
    <row r="2656" spans="1:2" x14ac:dyDescent="0.25">
      <c r="A2656" s="57">
        <v>25131505</v>
      </c>
      <c r="B2656" s="58" t="s">
        <v>13550</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12709</v>
      </c>
    </row>
    <row r="2667" spans="1:2" x14ac:dyDescent="0.25">
      <c r="A2667" s="57">
        <v>25131704</v>
      </c>
      <c r="B2667" s="58" t="s">
        <v>9186</v>
      </c>
    </row>
    <row r="2668" spans="1:2" x14ac:dyDescent="0.25">
      <c r="A2668" s="57">
        <v>25131705</v>
      </c>
      <c r="B2668" s="58" t="s">
        <v>10749</v>
      </c>
    </row>
    <row r="2669" spans="1:2" x14ac:dyDescent="0.25">
      <c r="A2669" s="57">
        <v>25131706</v>
      </c>
      <c r="B2669" s="58" t="s">
        <v>8211</v>
      </c>
    </row>
    <row r="2670" spans="1:2" x14ac:dyDescent="0.25">
      <c r="A2670" s="57">
        <v>25131707</v>
      </c>
      <c r="B2670" s="58" t="s">
        <v>3059</v>
      </c>
    </row>
    <row r="2671" spans="1:2" x14ac:dyDescent="0.25">
      <c r="A2671" s="57">
        <v>25131708</v>
      </c>
      <c r="B2671" s="58" t="s">
        <v>12834</v>
      </c>
    </row>
    <row r="2672" spans="1:2" x14ac:dyDescent="0.25">
      <c r="A2672" s="57">
        <v>25131709</v>
      </c>
      <c r="B2672" s="58" t="s">
        <v>13126</v>
      </c>
    </row>
    <row r="2673" spans="1:2" x14ac:dyDescent="0.25">
      <c r="A2673" s="57">
        <v>25131801</v>
      </c>
      <c r="B2673" s="58" t="s">
        <v>5314</v>
      </c>
    </row>
    <row r="2674" spans="1:2" x14ac:dyDescent="0.25">
      <c r="A2674" s="57">
        <v>25131902</v>
      </c>
      <c r="B2674" s="58" t="s">
        <v>2956</v>
      </c>
    </row>
    <row r="2675" spans="1:2" x14ac:dyDescent="0.25">
      <c r="A2675" s="57">
        <v>25131903</v>
      </c>
      <c r="B2675" s="58" t="s">
        <v>13655</v>
      </c>
    </row>
    <row r="2676" spans="1:2" x14ac:dyDescent="0.25">
      <c r="A2676" s="57">
        <v>25131904</v>
      </c>
      <c r="B2676" s="58" t="s">
        <v>9131</v>
      </c>
    </row>
    <row r="2677" spans="1:2" x14ac:dyDescent="0.25">
      <c r="A2677" s="57">
        <v>25131905</v>
      </c>
      <c r="B2677" s="58" t="s">
        <v>12287</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18745</v>
      </c>
    </row>
    <row r="2682" spans="1:2" x14ac:dyDescent="0.25">
      <c r="A2682" s="57">
        <v>25132004</v>
      </c>
      <c r="B2682" s="58" t="s">
        <v>11448</v>
      </c>
    </row>
    <row r="2683" spans="1:2" x14ac:dyDescent="0.25">
      <c r="A2683" s="57">
        <v>25132005</v>
      </c>
      <c r="B2683" s="58" t="s">
        <v>14525</v>
      </c>
    </row>
    <row r="2684" spans="1:2" x14ac:dyDescent="0.25">
      <c r="A2684" s="57">
        <v>25151501</v>
      </c>
      <c r="B2684" s="58" t="s">
        <v>12801</v>
      </c>
    </row>
    <row r="2685" spans="1:2" x14ac:dyDescent="0.25">
      <c r="A2685" s="57">
        <v>25151502</v>
      </c>
      <c r="B2685" s="58" t="s">
        <v>12139</v>
      </c>
    </row>
    <row r="2686" spans="1:2" x14ac:dyDescent="0.25">
      <c r="A2686" s="57">
        <v>25151701</v>
      </c>
      <c r="B2686" s="58" t="s">
        <v>11018</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14480</v>
      </c>
    </row>
    <row r="2696" spans="1:2" x14ac:dyDescent="0.25">
      <c r="A2696" s="57">
        <v>25161502</v>
      </c>
      <c r="B2696" s="58" t="s">
        <v>3839</v>
      </c>
    </row>
    <row r="2697" spans="1:2" x14ac:dyDescent="0.25">
      <c r="A2697" s="57">
        <v>25161503</v>
      </c>
      <c r="B2697" s="58" t="s">
        <v>10503</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10163</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8242</v>
      </c>
    </row>
    <row r="2713" spans="1:2" x14ac:dyDescent="0.25">
      <c r="A2713" s="57">
        <v>25171703</v>
      </c>
      <c r="B2713" s="58" t="s">
        <v>4941</v>
      </c>
    </row>
    <row r="2714" spans="1:2" x14ac:dyDescent="0.25">
      <c r="A2714" s="57">
        <v>25171704</v>
      </c>
      <c r="B2714" s="58" t="s">
        <v>11044</v>
      </c>
    </row>
    <row r="2715" spans="1:2" x14ac:dyDescent="0.25">
      <c r="A2715" s="57">
        <v>25171705</v>
      </c>
      <c r="B2715" s="58" t="s">
        <v>8818</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9248</v>
      </c>
    </row>
    <row r="2725" spans="1:2" x14ac:dyDescent="0.25">
      <c r="A2725" s="57">
        <v>25171715</v>
      </c>
      <c r="B2725" s="58" t="s">
        <v>10838</v>
      </c>
    </row>
    <row r="2726" spans="1:2" x14ac:dyDescent="0.25">
      <c r="A2726" s="57">
        <v>25171716</v>
      </c>
      <c r="B2726" s="58" t="s">
        <v>10256</v>
      </c>
    </row>
    <row r="2727" spans="1:2" x14ac:dyDescent="0.25">
      <c r="A2727" s="57">
        <v>25171717</v>
      </c>
      <c r="B2727" s="58" t="s">
        <v>9969</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9793</v>
      </c>
    </row>
    <row r="2732" spans="1:2" x14ac:dyDescent="0.25">
      <c r="A2732" s="57">
        <v>25171903</v>
      </c>
      <c r="B2732" s="58" t="s">
        <v>13989</v>
      </c>
    </row>
    <row r="2733" spans="1:2" x14ac:dyDescent="0.25">
      <c r="A2733" s="57">
        <v>25171905</v>
      </c>
      <c r="B2733" s="58" t="s">
        <v>10996</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17558</v>
      </c>
    </row>
    <row r="2738" spans="1:2" x14ac:dyDescent="0.25">
      <c r="A2738" s="57">
        <v>25172005</v>
      </c>
      <c r="B2738" s="58" t="s">
        <v>9176</v>
      </c>
    </row>
    <row r="2739" spans="1:2" x14ac:dyDescent="0.25">
      <c r="A2739" s="57">
        <v>25172007</v>
      </c>
      <c r="B2739" s="58" t="s">
        <v>11138</v>
      </c>
    </row>
    <row r="2740" spans="1:2" x14ac:dyDescent="0.25">
      <c r="A2740" s="57">
        <v>25172009</v>
      </c>
      <c r="B2740" s="58" t="s">
        <v>2455</v>
      </c>
    </row>
    <row r="2741" spans="1:2" x14ac:dyDescent="0.25">
      <c r="A2741" s="57">
        <v>25172010</v>
      </c>
      <c r="B2741" s="58" t="s">
        <v>11392</v>
      </c>
    </row>
    <row r="2742" spans="1:2" x14ac:dyDescent="0.25">
      <c r="A2742" s="57">
        <v>25172011</v>
      </c>
      <c r="B2742" s="58" t="s">
        <v>12405</v>
      </c>
    </row>
    <row r="2743" spans="1:2" x14ac:dyDescent="0.25">
      <c r="A2743" s="57">
        <v>25172101</v>
      </c>
      <c r="B2743" s="58" t="s">
        <v>1553</v>
      </c>
    </row>
    <row r="2744" spans="1:2" x14ac:dyDescent="0.25">
      <c r="A2744" s="57">
        <v>25172104</v>
      </c>
      <c r="B2744" s="58" t="s">
        <v>12412</v>
      </c>
    </row>
    <row r="2745" spans="1:2" x14ac:dyDescent="0.25">
      <c r="A2745" s="57">
        <v>25172105</v>
      </c>
      <c r="B2745" s="58" t="s">
        <v>17348</v>
      </c>
    </row>
    <row r="2746" spans="1:2" x14ac:dyDescent="0.25">
      <c r="A2746" s="57">
        <v>25172106</v>
      </c>
      <c r="B2746" s="58" t="s">
        <v>8540</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12297</v>
      </c>
    </row>
    <row r="2754" spans="1:2" x14ac:dyDescent="0.25">
      <c r="A2754" s="57">
        <v>25172201</v>
      </c>
      <c r="B2754" s="58" t="s">
        <v>4939</v>
      </c>
    </row>
    <row r="2755" spans="1:2" x14ac:dyDescent="0.25">
      <c r="A2755" s="57">
        <v>25172203</v>
      </c>
      <c r="B2755" s="58" t="s">
        <v>10888</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16136</v>
      </c>
    </row>
    <row r="2768" spans="1:2" x14ac:dyDescent="0.25">
      <c r="A2768" s="57">
        <v>25172505</v>
      </c>
      <c r="B2768" s="58" t="s">
        <v>18000</v>
      </c>
    </row>
    <row r="2769" spans="1:2" x14ac:dyDescent="0.25">
      <c r="A2769" s="57">
        <v>25172506</v>
      </c>
      <c r="B2769" s="58" t="s">
        <v>6192</v>
      </c>
    </row>
    <row r="2770" spans="1:2" x14ac:dyDescent="0.25">
      <c r="A2770" s="57">
        <v>25172507</v>
      </c>
      <c r="B2770" s="58" t="s">
        <v>11521</v>
      </c>
    </row>
    <row r="2771" spans="1:2" x14ac:dyDescent="0.25">
      <c r="A2771" s="57">
        <v>25172508</v>
      </c>
      <c r="B2771" s="58" t="s">
        <v>18397</v>
      </c>
    </row>
    <row r="2772" spans="1:2" x14ac:dyDescent="0.25">
      <c r="A2772" s="57">
        <v>25172601</v>
      </c>
      <c r="B2772" s="58" t="s">
        <v>9504</v>
      </c>
    </row>
    <row r="2773" spans="1:2" x14ac:dyDescent="0.25">
      <c r="A2773" s="57">
        <v>25172602</v>
      </c>
      <c r="B2773" s="58" t="s">
        <v>11635</v>
      </c>
    </row>
    <row r="2774" spans="1:2" x14ac:dyDescent="0.25">
      <c r="A2774" s="57">
        <v>25172603</v>
      </c>
      <c r="B2774" s="58" t="s">
        <v>6531</v>
      </c>
    </row>
    <row r="2775" spans="1:2" x14ac:dyDescent="0.25">
      <c r="A2775" s="57">
        <v>25172604</v>
      </c>
      <c r="B2775" s="58" t="s">
        <v>12724</v>
      </c>
    </row>
    <row r="2776" spans="1:2" x14ac:dyDescent="0.25">
      <c r="A2776" s="57">
        <v>25172605</v>
      </c>
      <c r="B2776" s="58" t="s">
        <v>9930</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9655</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10874</v>
      </c>
    </row>
    <row r="2789" spans="1:2" x14ac:dyDescent="0.25">
      <c r="A2789" s="57">
        <v>25172906</v>
      </c>
      <c r="B2789" s="58" t="s">
        <v>3133</v>
      </c>
    </row>
    <row r="2790" spans="1:2" x14ac:dyDescent="0.25">
      <c r="A2790" s="57">
        <v>25172907</v>
      </c>
      <c r="B2790" s="58" t="s">
        <v>14735</v>
      </c>
    </row>
    <row r="2791" spans="1:2" x14ac:dyDescent="0.25">
      <c r="A2791" s="57">
        <v>25173001</v>
      </c>
      <c r="B2791" s="58" t="s">
        <v>7638</v>
      </c>
    </row>
    <row r="2792" spans="1:2" x14ac:dyDescent="0.25">
      <c r="A2792" s="57">
        <v>25173003</v>
      </c>
      <c r="B2792" s="58" t="s">
        <v>5871</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13601</v>
      </c>
    </row>
    <row r="2797" spans="1:2" x14ac:dyDescent="0.25">
      <c r="A2797" s="57">
        <v>25173303</v>
      </c>
      <c r="B2797" s="58" t="s">
        <v>11649</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15004</v>
      </c>
    </row>
    <row r="2802" spans="1:2" x14ac:dyDescent="0.25">
      <c r="A2802" s="57">
        <v>25173704</v>
      </c>
      <c r="B2802" s="58" t="s">
        <v>14713</v>
      </c>
    </row>
    <row r="2803" spans="1:2" x14ac:dyDescent="0.25">
      <c r="A2803" s="57">
        <v>25173705</v>
      </c>
      <c r="B2803" s="58" t="s">
        <v>13149</v>
      </c>
    </row>
    <row r="2804" spans="1:2" x14ac:dyDescent="0.25">
      <c r="A2804" s="57">
        <v>25173801</v>
      </c>
      <c r="B2804" s="58" t="s">
        <v>4615</v>
      </c>
    </row>
    <row r="2805" spans="1:2" x14ac:dyDescent="0.25">
      <c r="A2805" s="57">
        <v>25173802</v>
      </c>
      <c r="B2805" s="58" t="s">
        <v>9926</v>
      </c>
    </row>
    <row r="2806" spans="1:2" x14ac:dyDescent="0.25">
      <c r="A2806" s="57">
        <v>25173803</v>
      </c>
      <c r="B2806" s="58" t="s">
        <v>17915</v>
      </c>
    </row>
    <row r="2807" spans="1:2" x14ac:dyDescent="0.25">
      <c r="A2807" s="57">
        <v>25173804</v>
      </c>
      <c r="B2807" s="58" t="s">
        <v>12404</v>
      </c>
    </row>
    <row r="2808" spans="1:2" x14ac:dyDescent="0.25">
      <c r="A2808" s="57">
        <v>25173805</v>
      </c>
      <c r="B2808" s="58" t="s">
        <v>13458</v>
      </c>
    </row>
    <row r="2809" spans="1:2" x14ac:dyDescent="0.25">
      <c r="A2809" s="57">
        <v>25173806</v>
      </c>
      <c r="B2809" s="58" t="s">
        <v>13324</v>
      </c>
    </row>
    <row r="2810" spans="1:2" x14ac:dyDescent="0.25">
      <c r="A2810" s="57">
        <v>25173807</v>
      </c>
      <c r="B2810" s="58" t="s">
        <v>8188</v>
      </c>
    </row>
    <row r="2811" spans="1:2" x14ac:dyDescent="0.25">
      <c r="A2811" s="57">
        <v>25173808</v>
      </c>
      <c r="B2811" s="58" t="s">
        <v>13064</v>
      </c>
    </row>
    <row r="2812" spans="1:2" x14ac:dyDescent="0.25">
      <c r="A2812" s="57">
        <v>25173809</v>
      </c>
      <c r="B2812" s="58" t="s">
        <v>14556</v>
      </c>
    </row>
    <row r="2813" spans="1:2" x14ac:dyDescent="0.25">
      <c r="A2813" s="57">
        <v>25173810</v>
      </c>
      <c r="B2813" s="58" t="s">
        <v>8439</v>
      </c>
    </row>
    <row r="2814" spans="1:2" x14ac:dyDescent="0.25">
      <c r="A2814" s="57">
        <v>25173811</v>
      </c>
      <c r="B2814" s="58" t="s">
        <v>8968</v>
      </c>
    </row>
    <row r="2815" spans="1:2" x14ac:dyDescent="0.25">
      <c r="A2815" s="57">
        <v>25173812</v>
      </c>
      <c r="B2815" s="58" t="s">
        <v>12084</v>
      </c>
    </row>
    <row r="2816" spans="1:2" x14ac:dyDescent="0.25">
      <c r="A2816" s="57">
        <v>25173813</v>
      </c>
      <c r="B2816" s="58" t="s">
        <v>8469</v>
      </c>
    </row>
    <row r="2817" spans="1:2" x14ac:dyDescent="0.25">
      <c r="A2817" s="57">
        <v>25173815</v>
      </c>
      <c r="B2817" s="58" t="s">
        <v>9839</v>
      </c>
    </row>
    <row r="2818" spans="1:2" x14ac:dyDescent="0.25">
      <c r="A2818" s="57">
        <v>25173816</v>
      </c>
      <c r="B2818" s="58" t="s">
        <v>7047</v>
      </c>
    </row>
    <row r="2819" spans="1:2" x14ac:dyDescent="0.25">
      <c r="A2819" s="57">
        <v>25173817</v>
      </c>
      <c r="B2819" s="58" t="s">
        <v>11643</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5461</v>
      </c>
    </row>
    <row r="2830" spans="1:2" x14ac:dyDescent="0.25">
      <c r="A2830" s="57">
        <v>25174106</v>
      </c>
      <c r="B2830" s="58" t="s">
        <v>12332</v>
      </c>
    </row>
    <row r="2831" spans="1:2" x14ac:dyDescent="0.25">
      <c r="A2831" s="57">
        <v>25174107</v>
      </c>
      <c r="B2831" s="58" t="s">
        <v>163</v>
      </c>
    </row>
    <row r="2832" spans="1:2" x14ac:dyDescent="0.25">
      <c r="A2832" s="57">
        <v>25174201</v>
      </c>
      <c r="B2832" s="58" t="s">
        <v>9024</v>
      </c>
    </row>
    <row r="2833" spans="1:2" x14ac:dyDescent="0.25">
      <c r="A2833" s="57">
        <v>25174202</v>
      </c>
      <c r="B2833" s="58" t="s">
        <v>13411</v>
      </c>
    </row>
    <row r="2834" spans="1:2" x14ac:dyDescent="0.25">
      <c r="A2834" s="57">
        <v>25174203</v>
      </c>
      <c r="B2834" s="58" t="s">
        <v>10538</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9669</v>
      </c>
    </row>
    <row r="2858" spans="1:2" x14ac:dyDescent="0.25">
      <c r="A2858" s="57">
        <v>25174701</v>
      </c>
      <c r="B2858" s="58" t="s">
        <v>4608</v>
      </c>
    </row>
    <row r="2859" spans="1:2" x14ac:dyDescent="0.25">
      <c r="A2859" s="57">
        <v>25181601</v>
      </c>
      <c r="B2859" s="58" t="s">
        <v>4124</v>
      </c>
    </row>
    <row r="2860" spans="1:2" x14ac:dyDescent="0.25">
      <c r="A2860" s="57">
        <v>25181602</v>
      </c>
      <c r="B2860" s="58" t="s">
        <v>12111</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10491</v>
      </c>
    </row>
    <row r="2867" spans="1:2" x14ac:dyDescent="0.25">
      <c r="A2867" s="57">
        <v>25181706</v>
      </c>
      <c r="B2867" s="58" t="s">
        <v>12460</v>
      </c>
    </row>
    <row r="2868" spans="1:2" x14ac:dyDescent="0.25">
      <c r="A2868" s="57">
        <v>25181707</v>
      </c>
      <c r="B2868" s="58" t="s">
        <v>15278</v>
      </c>
    </row>
    <row r="2869" spans="1:2" x14ac:dyDescent="0.25">
      <c r="A2869" s="57">
        <v>25181708</v>
      </c>
      <c r="B2869" s="58" t="s">
        <v>13658</v>
      </c>
    </row>
    <row r="2870" spans="1:2" x14ac:dyDescent="0.25">
      <c r="A2870" s="57">
        <v>25181709</v>
      </c>
      <c r="B2870" s="58" t="s">
        <v>12150</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12142</v>
      </c>
    </row>
    <row r="2875" spans="1:2" x14ac:dyDescent="0.25">
      <c r="A2875" s="57">
        <v>25191501</v>
      </c>
      <c r="B2875" s="58" t="s">
        <v>10988</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10910</v>
      </c>
    </row>
    <row r="2880" spans="1:2" x14ac:dyDescent="0.25">
      <c r="A2880" s="57">
        <v>25191506</v>
      </c>
      <c r="B2880" s="58" t="s">
        <v>12391</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14048</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17307</v>
      </c>
    </row>
    <row r="2891" spans="1:2" x14ac:dyDescent="0.25">
      <c r="A2891" s="57">
        <v>25191603</v>
      </c>
      <c r="B2891" s="58" t="s">
        <v>3966</v>
      </c>
    </row>
    <row r="2892" spans="1:2" x14ac:dyDescent="0.25">
      <c r="A2892" s="57">
        <v>25191604</v>
      </c>
      <c r="B2892" s="58" t="s">
        <v>11132</v>
      </c>
    </row>
    <row r="2893" spans="1:2" x14ac:dyDescent="0.25">
      <c r="A2893" s="57">
        <v>25191605</v>
      </c>
      <c r="B2893" s="58" t="s">
        <v>15494</v>
      </c>
    </row>
    <row r="2894" spans="1:2" x14ac:dyDescent="0.25">
      <c r="A2894" s="57">
        <v>25191701</v>
      </c>
      <c r="B2894" s="58" t="s">
        <v>16487</v>
      </c>
    </row>
    <row r="2895" spans="1:2" x14ac:dyDescent="0.25">
      <c r="A2895" s="57">
        <v>25191702</v>
      </c>
      <c r="B2895" s="58" t="s">
        <v>5899</v>
      </c>
    </row>
    <row r="2896" spans="1:2" x14ac:dyDescent="0.25">
      <c r="A2896" s="57">
        <v>25191703</v>
      </c>
      <c r="B2896" s="58" t="s">
        <v>12228</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14106</v>
      </c>
    </row>
    <row r="2906" spans="1:2" x14ac:dyDescent="0.25">
      <c r="A2906" s="57">
        <v>25201509</v>
      </c>
      <c r="B2906" s="58" t="s">
        <v>10217</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10262</v>
      </c>
    </row>
    <row r="2911" spans="1:2" x14ac:dyDescent="0.25">
      <c r="A2911" s="57">
        <v>25201514</v>
      </c>
      <c r="B2911" s="58" t="s">
        <v>11980</v>
      </c>
    </row>
    <row r="2912" spans="1:2" x14ac:dyDescent="0.25">
      <c r="A2912" s="57">
        <v>25201515</v>
      </c>
      <c r="B2912" s="58" t="s">
        <v>14983</v>
      </c>
    </row>
    <row r="2913" spans="1:2" x14ac:dyDescent="0.25">
      <c r="A2913" s="57">
        <v>25201516</v>
      </c>
      <c r="B2913" s="58" t="s">
        <v>8109</v>
      </c>
    </row>
    <row r="2914" spans="1:2" x14ac:dyDescent="0.25">
      <c r="A2914" s="57">
        <v>25201517</v>
      </c>
      <c r="B2914" s="58" t="s">
        <v>9872</v>
      </c>
    </row>
    <row r="2915" spans="1:2" x14ac:dyDescent="0.25">
      <c r="A2915" s="57">
        <v>25201518</v>
      </c>
      <c r="B2915" s="58" t="s">
        <v>1157</v>
      </c>
    </row>
    <row r="2916" spans="1:2" x14ac:dyDescent="0.25">
      <c r="A2916" s="57">
        <v>25201519</v>
      </c>
      <c r="B2916" s="58" t="s">
        <v>9673</v>
      </c>
    </row>
    <row r="2917" spans="1:2" x14ac:dyDescent="0.25">
      <c r="A2917" s="57">
        <v>25201520</v>
      </c>
      <c r="B2917" s="58" t="s">
        <v>17057</v>
      </c>
    </row>
    <row r="2918" spans="1:2" x14ac:dyDescent="0.25">
      <c r="A2918" s="57">
        <v>25201601</v>
      </c>
      <c r="B2918" s="58" t="s">
        <v>8470</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11874</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10697</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7818</v>
      </c>
    </row>
    <row r="2935" spans="1:2" x14ac:dyDescent="0.25">
      <c r="A2935" s="57">
        <v>25201802</v>
      </c>
      <c r="B2935" s="58" t="s">
        <v>8516</v>
      </c>
    </row>
    <row r="2936" spans="1:2" x14ac:dyDescent="0.25">
      <c r="A2936" s="57">
        <v>25201901</v>
      </c>
      <c r="B2936" s="58" t="s">
        <v>17806</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12205</v>
      </c>
    </row>
    <row r="2943" spans="1:2" x14ac:dyDescent="0.25">
      <c r="A2943" s="57">
        <v>25202004</v>
      </c>
      <c r="B2943" s="58" t="s">
        <v>14986</v>
      </c>
    </row>
    <row r="2944" spans="1:2" x14ac:dyDescent="0.25">
      <c r="A2944" s="57">
        <v>25202101</v>
      </c>
      <c r="B2944" s="58" t="s">
        <v>13569</v>
      </c>
    </row>
    <row r="2945" spans="1:2" x14ac:dyDescent="0.25">
      <c r="A2945" s="57">
        <v>25202102</v>
      </c>
      <c r="B2945" s="58" t="s">
        <v>7593</v>
      </c>
    </row>
    <row r="2946" spans="1:2" x14ac:dyDescent="0.25">
      <c r="A2946" s="57">
        <v>25202103</v>
      </c>
      <c r="B2946" s="58" t="s">
        <v>11000</v>
      </c>
    </row>
    <row r="2947" spans="1:2" x14ac:dyDescent="0.25">
      <c r="A2947" s="57">
        <v>25202104</v>
      </c>
      <c r="B2947" s="58" t="s">
        <v>3339</v>
      </c>
    </row>
    <row r="2948" spans="1:2" x14ac:dyDescent="0.25">
      <c r="A2948" s="57">
        <v>25202105</v>
      </c>
      <c r="B2948" s="58" t="s">
        <v>10904</v>
      </c>
    </row>
    <row r="2949" spans="1:2" x14ac:dyDescent="0.25">
      <c r="A2949" s="57">
        <v>25202201</v>
      </c>
      <c r="B2949" s="58" t="s">
        <v>3952</v>
      </c>
    </row>
    <row r="2950" spans="1:2" x14ac:dyDescent="0.25">
      <c r="A2950" s="57">
        <v>25202202</v>
      </c>
      <c r="B2950" s="58" t="s">
        <v>4420</v>
      </c>
    </row>
    <row r="2951" spans="1:2" x14ac:dyDescent="0.25">
      <c r="A2951" s="57">
        <v>25202203</v>
      </c>
      <c r="B2951" s="58" t="s">
        <v>12443</v>
      </c>
    </row>
    <row r="2952" spans="1:2" x14ac:dyDescent="0.25">
      <c r="A2952" s="57">
        <v>25202204</v>
      </c>
      <c r="B2952" s="58" t="s">
        <v>13625</v>
      </c>
    </row>
    <row r="2953" spans="1:2" x14ac:dyDescent="0.25">
      <c r="A2953" s="57">
        <v>25202205</v>
      </c>
      <c r="B2953" s="58" t="s">
        <v>16241</v>
      </c>
    </row>
    <row r="2954" spans="1:2" x14ac:dyDescent="0.25">
      <c r="A2954" s="57">
        <v>25202206</v>
      </c>
      <c r="B2954" s="58" t="s">
        <v>3972</v>
      </c>
    </row>
    <row r="2955" spans="1:2" x14ac:dyDescent="0.25">
      <c r="A2955" s="57">
        <v>25202301</v>
      </c>
      <c r="B2955" s="58" t="s">
        <v>11972</v>
      </c>
    </row>
    <row r="2956" spans="1:2" x14ac:dyDescent="0.25">
      <c r="A2956" s="57">
        <v>25202302</v>
      </c>
      <c r="B2956" s="58" t="s">
        <v>18029</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13119</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13316</v>
      </c>
    </row>
    <row r="2973" spans="1:2" x14ac:dyDescent="0.25">
      <c r="A2973" s="57">
        <v>25202601</v>
      </c>
      <c r="B2973" s="58" t="s">
        <v>14931</v>
      </c>
    </row>
    <row r="2974" spans="1:2" x14ac:dyDescent="0.25">
      <c r="A2974" s="57">
        <v>25202602</v>
      </c>
      <c r="B2974" s="58" t="s">
        <v>4447</v>
      </c>
    </row>
    <row r="2975" spans="1:2" x14ac:dyDescent="0.25">
      <c r="A2975" s="57">
        <v>25202603</v>
      </c>
      <c r="B2975" s="58" t="s">
        <v>9849</v>
      </c>
    </row>
    <row r="2976" spans="1:2" x14ac:dyDescent="0.25">
      <c r="A2976" s="57">
        <v>25202604</v>
      </c>
      <c r="B2976" s="58" t="s">
        <v>1859</v>
      </c>
    </row>
    <row r="2977" spans="1:2" x14ac:dyDescent="0.25">
      <c r="A2977" s="57">
        <v>25202605</v>
      </c>
      <c r="B2977" s="58" t="s">
        <v>10999</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9742</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13664</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17397</v>
      </c>
    </row>
    <row r="2994" spans="1:2" x14ac:dyDescent="0.25">
      <c r="A2994" s="57">
        <v>26101513</v>
      </c>
      <c r="B2994" s="58" t="s">
        <v>14943</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8285</v>
      </c>
    </row>
    <row r="2999" spans="1:2" x14ac:dyDescent="0.25">
      <c r="A2999" s="57">
        <v>26101605</v>
      </c>
      <c r="B2999" s="58" t="s">
        <v>15639</v>
      </c>
    </row>
    <row r="3000" spans="1:2" x14ac:dyDescent="0.25">
      <c r="A3000" s="57">
        <v>26101606</v>
      </c>
      <c r="B3000" s="58" t="s">
        <v>12102</v>
      </c>
    </row>
    <row r="3001" spans="1:2" x14ac:dyDescent="0.25">
      <c r="A3001" s="57">
        <v>26101607</v>
      </c>
      <c r="B3001" s="58" t="s">
        <v>1893</v>
      </c>
    </row>
    <row r="3002" spans="1:2" x14ac:dyDescent="0.25">
      <c r="A3002" s="57">
        <v>26101608</v>
      </c>
      <c r="B3002" s="58" t="s">
        <v>5224</v>
      </c>
    </row>
    <row r="3003" spans="1:2" x14ac:dyDescent="0.25">
      <c r="A3003" s="57">
        <v>26101609</v>
      </c>
      <c r="B3003" s="58" t="s">
        <v>13873</v>
      </c>
    </row>
    <row r="3004" spans="1:2" x14ac:dyDescent="0.25">
      <c r="A3004" s="57">
        <v>26101610</v>
      </c>
      <c r="B3004" s="58" t="s">
        <v>4306</v>
      </c>
    </row>
    <row r="3005" spans="1:2" x14ac:dyDescent="0.25">
      <c r="A3005" s="57">
        <v>26101611</v>
      </c>
      <c r="B3005" s="58" t="s">
        <v>13241</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13013</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12061</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11564</v>
      </c>
    </row>
    <row r="3035" spans="1:2" x14ac:dyDescent="0.25">
      <c r="A3035" s="57">
        <v>26101727</v>
      </c>
      <c r="B3035" s="58" t="s">
        <v>12198</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11817</v>
      </c>
    </row>
    <row r="3040" spans="1:2" x14ac:dyDescent="0.25">
      <c r="A3040" s="57">
        <v>26101732</v>
      </c>
      <c r="B3040" s="58" t="s">
        <v>10843</v>
      </c>
    </row>
    <row r="3041" spans="1:2" x14ac:dyDescent="0.25">
      <c r="A3041" s="57">
        <v>26101733</v>
      </c>
      <c r="B3041" s="58" t="s">
        <v>6051</v>
      </c>
    </row>
    <row r="3042" spans="1:2" x14ac:dyDescent="0.25">
      <c r="A3042" s="57">
        <v>26101734</v>
      </c>
      <c r="B3042" s="58" t="s">
        <v>11941</v>
      </c>
    </row>
    <row r="3043" spans="1:2" x14ac:dyDescent="0.25">
      <c r="A3043" s="57">
        <v>26101735</v>
      </c>
      <c r="B3043" s="58" t="s">
        <v>13797</v>
      </c>
    </row>
    <row r="3044" spans="1:2" x14ac:dyDescent="0.25">
      <c r="A3044" s="57">
        <v>26101736</v>
      </c>
      <c r="B3044" s="58" t="s">
        <v>10797</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5569</v>
      </c>
    </row>
    <row r="3061" spans="1:2" x14ac:dyDescent="0.25">
      <c r="A3061" s="57">
        <v>26101759</v>
      </c>
      <c r="B3061" s="58" t="s">
        <v>17411</v>
      </c>
    </row>
    <row r="3062" spans="1:2" x14ac:dyDescent="0.25">
      <c r="A3062" s="57">
        <v>26101760</v>
      </c>
      <c r="B3062" s="58" t="s">
        <v>10446</v>
      </c>
    </row>
    <row r="3063" spans="1:2" x14ac:dyDescent="0.25">
      <c r="A3063" s="57">
        <v>26101761</v>
      </c>
      <c r="B3063" s="58" t="s">
        <v>17937</v>
      </c>
    </row>
    <row r="3064" spans="1:2" x14ac:dyDescent="0.25">
      <c r="A3064" s="57">
        <v>26101762</v>
      </c>
      <c r="B3064" s="58" t="s">
        <v>1083</v>
      </c>
    </row>
    <row r="3065" spans="1:2" x14ac:dyDescent="0.25">
      <c r="A3065" s="57">
        <v>26101763</v>
      </c>
      <c r="B3065" s="58" t="s">
        <v>9506</v>
      </c>
    </row>
    <row r="3066" spans="1:2" x14ac:dyDescent="0.25">
      <c r="A3066" s="57">
        <v>26101764</v>
      </c>
      <c r="B3066" s="58" t="s">
        <v>10803</v>
      </c>
    </row>
    <row r="3067" spans="1:2" x14ac:dyDescent="0.25">
      <c r="A3067" s="57">
        <v>26101765</v>
      </c>
      <c r="B3067" s="58" t="s">
        <v>5780</v>
      </c>
    </row>
    <row r="3068" spans="1:2" x14ac:dyDescent="0.25">
      <c r="A3068" s="57">
        <v>26101766</v>
      </c>
      <c r="B3068" s="58" t="s">
        <v>13121</v>
      </c>
    </row>
    <row r="3069" spans="1:2" x14ac:dyDescent="0.25">
      <c r="A3069" s="57">
        <v>26101801</v>
      </c>
      <c r="B3069" s="58" t="s">
        <v>5266</v>
      </c>
    </row>
    <row r="3070" spans="1:2" x14ac:dyDescent="0.25">
      <c r="A3070" s="57">
        <v>26101802</v>
      </c>
      <c r="B3070" s="58" t="s">
        <v>10678</v>
      </c>
    </row>
    <row r="3071" spans="1:2" x14ac:dyDescent="0.25">
      <c r="A3071" s="57">
        <v>26101803</v>
      </c>
      <c r="B3071" s="58" t="s">
        <v>18798</v>
      </c>
    </row>
    <row r="3072" spans="1:2" x14ac:dyDescent="0.25">
      <c r="A3072" s="57">
        <v>26101805</v>
      </c>
      <c r="B3072" s="58" t="s">
        <v>10715</v>
      </c>
    </row>
    <row r="3073" spans="1:2" x14ac:dyDescent="0.25">
      <c r="A3073" s="57">
        <v>26101806</v>
      </c>
      <c r="B3073" s="58" t="s">
        <v>13326</v>
      </c>
    </row>
    <row r="3074" spans="1:2" x14ac:dyDescent="0.25">
      <c r="A3074" s="57">
        <v>26101807</v>
      </c>
      <c r="B3074" s="58" t="s">
        <v>9391</v>
      </c>
    </row>
    <row r="3075" spans="1:2" x14ac:dyDescent="0.25">
      <c r="A3075" s="57">
        <v>26101808</v>
      </c>
      <c r="B3075" s="58" t="s">
        <v>18805</v>
      </c>
    </row>
    <row r="3076" spans="1:2" x14ac:dyDescent="0.25">
      <c r="A3076" s="57">
        <v>26101809</v>
      </c>
      <c r="B3076" s="58" t="s">
        <v>12654</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10035</v>
      </c>
    </row>
    <row r="3081" spans="1:2" x14ac:dyDescent="0.25">
      <c r="A3081" s="57">
        <v>26111503</v>
      </c>
      <c r="B3081" s="58" t="s">
        <v>9187</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10775</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10856</v>
      </c>
    </row>
    <row r="3099" spans="1:2" x14ac:dyDescent="0.25">
      <c r="A3099" s="57">
        <v>26111523</v>
      </c>
      <c r="B3099" s="58" t="s">
        <v>3879</v>
      </c>
    </row>
    <row r="3100" spans="1:2" x14ac:dyDescent="0.25">
      <c r="A3100" s="57">
        <v>26111524</v>
      </c>
      <c r="B3100" s="58" t="s">
        <v>11076</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10606</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14474</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10522</v>
      </c>
    </row>
    <row r="3119" spans="1:2" x14ac:dyDescent="0.25">
      <c r="A3119" s="57">
        <v>26111608</v>
      </c>
      <c r="B3119" s="58" t="s">
        <v>13959</v>
      </c>
    </row>
    <row r="3120" spans="1:2" x14ac:dyDescent="0.25">
      <c r="A3120" s="57">
        <v>26111701</v>
      </c>
      <c r="B3120" s="58" t="s">
        <v>5428</v>
      </c>
    </row>
    <row r="3121" spans="1:2" x14ac:dyDescent="0.25">
      <c r="A3121" s="57">
        <v>26111702</v>
      </c>
      <c r="B3121" s="58" t="s">
        <v>10199</v>
      </c>
    </row>
    <row r="3122" spans="1:2" x14ac:dyDescent="0.25">
      <c r="A3122" s="57">
        <v>26111703</v>
      </c>
      <c r="B3122" s="58" t="s">
        <v>5283</v>
      </c>
    </row>
    <row r="3123" spans="1:2" x14ac:dyDescent="0.25">
      <c r="A3123" s="57">
        <v>26111704</v>
      </c>
      <c r="B3123" s="58" t="s">
        <v>1336</v>
      </c>
    </row>
    <row r="3124" spans="1:2" x14ac:dyDescent="0.25">
      <c r="A3124" s="57">
        <v>26111705</v>
      </c>
      <c r="B3124" s="58" t="s">
        <v>12277</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11614</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11009</v>
      </c>
    </row>
    <row r="3153" spans="1:2" x14ac:dyDescent="0.25">
      <c r="A3153" s="57">
        <v>26111809</v>
      </c>
      <c r="B3153" s="58" t="s">
        <v>5682</v>
      </c>
    </row>
    <row r="3154" spans="1:2" x14ac:dyDescent="0.25">
      <c r="A3154" s="57">
        <v>26111810</v>
      </c>
      <c r="B3154" s="58" t="s">
        <v>3900</v>
      </c>
    </row>
    <row r="3155" spans="1:2" x14ac:dyDescent="0.25">
      <c r="A3155" s="57">
        <v>26111901</v>
      </c>
      <c r="B3155" s="58" t="s">
        <v>12717</v>
      </c>
    </row>
    <row r="3156" spans="1:2" x14ac:dyDescent="0.25">
      <c r="A3156" s="57">
        <v>26111902</v>
      </c>
      <c r="B3156" s="58" t="s">
        <v>15807</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13213</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16053</v>
      </c>
    </row>
    <row r="3166" spans="1:2" x14ac:dyDescent="0.25">
      <c r="A3166" s="57">
        <v>26112003</v>
      </c>
      <c r="B3166" s="58" t="s">
        <v>12967</v>
      </c>
    </row>
    <row r="3167" spans="1:2" x14ac:dyDescent="0.25">
      <c r="A3167" s="57">
        <v>26112004</v>
      </c>
      <c r="B3167" s="58" t="s">
        <v>9979</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11559</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10316</v>
      </c>
    </row>
    <row r="3191" spans="1:2" x14ac:dyDescent="0.25">
      <c r="A3191" s="57">
        <v>26121536</v>
      </c>
      <c r="B3191" s="58" t="s">
        <v>4583</v>
      </c>
    </row>
    <row r="3192" spans="1:2" x14ac:dyDescent="0.25">
      <c r="A3192" s="57">
        <v>26121538</v>
      </c>
      <c r="B3192" s="58" t="s">
        <v>8764</v>
      </c>
    </row>
    <row r="3193" spans="1:2" x14ac:dyDescent="0.25">
      <c r="A3193" s="57">
        <v>26121539</v>
      </c>
      <c r="B3193" s="58" t="s">
        <v>11605</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11907</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10225</v>
      </c>
    </row>
    <row r="3207" spans="1:2" x14ac:dyDescent="0.25">
      <c r="A3207" s="57">
        <v>26121612</v>
      </c>
      <c r="B3207" s="58" t="s">
        <v>14115</v>
      </c>
    </row>
    <row r="3208" spans="1:2" x14ac:dyDescent="0.25">
      <c r="A3208" s="57">
        <v>26121613</v>
      </c>
      <c r="B3208" s="58" t="s">
        <v>8404</v>
      </c>
    </row>
    <row r="3209" spans="1:2" x14ac:dyDescent="0.25">
      <c r="A3209" s="57">
        <v>26121614</v>
      </c>
      <c r="B3209" s="58" t="s">
        <v>12468</v>
      </c>
    </row>
    <row r="3210" spans="1:2" x14ac:dyDescent="0.25">
      <c r="A3210" s="57">
        <v>26121615</v>
      </c>
      <c r="B3210" s="58" t="s">
        <v>10984</v>
      </c>
    </row>
    <row r="3211" spans="1:2" x14ac:dyDescent="0.25">
      <c r="A3211" s="57">
        <v>26121616</v>
      </c>
      <c r="B3211" s="58" t="s">
        <v>5970</v>
      </c>
    </row>
    <row r="3212" spans="1:2" x14ac:dyDescent="0.25">
      <c r="A3212" s="57">
        <v>26121617</v>
      </c>
      <c r="B3212" s="58" t="s">
        <v>7851</v>
      </c>
    </row>
    <row r="3213" spans="1:2" x14ac:dyDescent="0.25">
      <c r="A3213" s="57">
        <v>26121618</v>
      </c>
      <c r="B3213" s="58" t="s">
        <v>11553</v>
      </c>
    </row>
    <row r="3214" spans="1:2" x14ac:dyDescent="0.25">
      <c r="A3214" s="57">
        <v>26121619</v>
      </c>
      <c r="B3214" s="58" t="s">
        <v>5729</v>
      </c>
    </row>
    <row r="3215" spans="1:2" x14ac:dyDescent="0.25">
      <c r="A3215" s="57">
        <v>26121620</v>
      </c>
      <c r="B3215" s="58" t="s">
        <v>10401</v>
      </c>
    </row>
    <row r="3216" spans="1:2" x14ac:dyDescent="0.25">
      <c r="A3216" s="57">
        <v>26121621</v>
      </c>
      <c r="B3216" s="58" t="s">
        <v>14036</v>
      </c>
    </row>
    <row r="3217" spans="1:2" x14ac:dyDescent="0.25">
      <c r="A3217" s="57">
        <v>26121622</v>
      </c>
      <c r="B3217" s="58" t="s">
        <v>14344</v>
      </c>
    </row>
    <row r="3218" spans="1:2" x14ac:dyDescent="0.25">
      <c r="A3218" s="57">
        <v>26121623</v>
      </c>
      <c r="B3218" s="58" t="s">
        <v>7710</v>
      </c>
    </row>
    <row r="3219" spans="1:2" x14ac:dyDescent="0.25">
      <c r="A3219" s="57">
        <v>26121624</v>
      </c>
      <c r="B3219" s="58" t="s">
        <v>6871</v>
      </c>
    </row>
    <row r="3220" spans="1:2" x14ac:dyDescent="0.25">
      <c r="A3220" s="57">
        <v>26121628</v>
      </c>
      <c r="B3220" s="58" t="s">
        <v>14178</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11715</v>
      </c>
    </row>
    <row r="3226" spans="1:2" x14ac:dyDescent="0.25">
      <c r="A3226" s="57">
        <v>26121634</v>
      </c>
      <c r="B3226" s="58" t="s">
        <v>9475</v>
      </c>
    </row>
    <row r="3227" spans="1:2" x14ac:dyDescent="0.25">
      <c r="A3227" s="57">
        <v>26121635</v>
      </c>
      <c r="B3227" s="58" t="s">
        <v>1471</v>
      </c>
    </row>
    <row r="3228" spans="1:2" x14ac:dyDescent="0.25">
      <c r="A3228" s="57">
        <v>26121636</v>
      </c>
      <c r="B3228" s="58" t="s">
        <v>14664</v>
      </c>
    </row>
    <row r="3229" spans="1:2" x14ac:dyDescent="0.25">
      <c r="A3229" s="57">
        <v>26121637</v>
      </c>
      <c r="B3229" s="58" t="s">
        <v>12276</v>
      </c>
    </row>
    <row r="3230" spans="1:2" x14ac:dyDescent="0.25">
      <c r="A3230" s="57">
        <v>26121701</v>
      </c>
      <c r="B3230" s="58" t="s">
        <v>11300</v>
      </c>
    </row>
    <row r="3231" spans="1:2" x14ac:dyDescent="0.25">
      <c r="A3231" s="57">
        <v>26121702</v>
      </c>
      <c r="B3231" s="58" t="s">
        <v>18385</v>
      </c>
    </row>
    <row r="3232" spans="1:2" x14ac:dyDescent="0.25">
      <c r="A3232" s="57">
        <v>26121703</v>
      </c>
      <c r="B3232" s="58" t="s">
        <v>16100</v>
      </c>
    </row>
    <row r="3233" spans="1:2" x14ac:dyDescent="0.25">
      <c r="A3233" s="57">
        <v>26121704</v>
      </c>
      <c r="B3233" s="58" t="s">
        <v>9915</v>
      </c>
    </row>
    <row r="3234" spans="1:2" x14ac:dyDescent="0.25">
      <c r="A3234" s="57">
        <v>26121705</v>
      </c>
      <c r="B3234" s="58" t="s">
        <v>11211</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17247</v>
      </c>
    </row>
    <row r="3241" spans="1:2" x14ac:dyDescent="0.25">
      <c r="A3241" s="57">
        <v>26131507</v>
      </c>
      <c r="B3241" s="58" t="s">
        <v>9274</v>
      </c>
    </row>
    <row r="3242" spans="1:2" x14ac:dyDescent="0.25">
      <c r="A3242" s="57">
        <v>26131508</v>
      </c>
      <c r="B3242" s="58" t="s">
        <v>3305</v>
      </c>
    </row>
    <row r="3243" spans="1:2" x14ac:dyDescent="0.25">
      <c r="A3243" s="57">
        <v>26131509</v>
      </c>
      <c r="B3243" s="58" t="s">
        <v>11671</v>
      </c>
    </row>
    <row r="3244" spans="1:2" x14ac:dyDescent="0.25">
      <c r="A3244" s="57">
        <v>26131510</v>
      </c>
      <c r="B3244" s="58" t="s">
        <v>10037</v>
      </c>
    </row>
    <row r="3245" spans="1:2" x14ac:dyDescent="0.25">
      <c r="A3245" s="57">
        <v>26131601</v>
      </c>
      <c r="B3245" s="58" t="s">
        <v>1146</v>
      </c>
    </row>
    <row r="3246" spans="1:2" x14ac:dyDescent="0.25">
      <c r="A3246" s="57">
        <v>26131602</v>
      </c>
      <c r="B3246" s="58" t="s">
        <v>14303</v>
      </c>
    </row>
    <row r="3247" spans="1:2" x14ac:dyDescent="0.25">
      <c r="A3247" s="57">
        <v>26131603</v>
      </c>
      <c r="B3247" s="58" t="s">
        <v>5178</v>
      </c>
    </row>
    <row r="3248" spans="1:2" x14ac:dyDescent="0.25">
      <c r="A3248" s="57">
        <v>26131604</v>
      </c>
      <c r="B3248" s="58" t="s">
        <v>15577</v>
      </c>
    </row>
    <row r="3249" spans="1:2" x14ac:dyDescent="0.25">
      <c r="A3249" s="57">
        <v>26131605</v>
      </c>
      <c r="B3249" s="58" t="s">
        <v>17340</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10832</v>
      </c>
    </row>
    <row r="3258" spans="1:2" x14ac:dyDescent="0.25">
      <c r="A3258" s="57">
        <v>26131614</v>
      </c>
      <c r="B3258" s="58" t="s">
        <v>10423</v>
      </c>
    </row>
    <row r="3259" spans="1:2" x14ac:dyDescent="0.25">
      <c r="A3259" s="57">
        <v>26131615</v>
      </c>
      <c r="B3259" s="58" t="s">
        <v>17880</v>
      </c>
    </row>
    <row r="3260" spans="1:2" x14ac:dyDescent="0.25">
      <c r="A3260" s="57">
        <v>26131616</v>
      </c>
      <c r="B3260" s="58" t="s">
        <v>4974</v>
      </c>
    </row>
    <row r="3261" spans="1:2" x14ac:dyDescent="0.25">
      <c r="A3261" s="57">
        <v>26131701</v>
      </c>
      <c r="B3261" s="58" t="s">
        <v>15287</v>
      </c>
    </row>
    <row r="3262" spans="1:2" x14ac:dyDescent="0.25">
      <c r="A3262" s="57">
        <v>26131702</v>
      </c>
      <c r="B3262" s="58" t="s">
        <v>13857</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5844</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12569</v>
      </c>
    </row>
    <row r="3278" spans="1:2" x14ac:dyDescent="0.25">
      <c r="A3278" s="57">
        <v>26141602</v>
      </c>
      <c r="B3278" s="58" t="s">
        <v>2343</v>
      </c>
    </row>
    <row r="3279" spans="1:2" x14ac:dyDescent="0.25">
      <c r="A3279" s="57">
        <v>26141603</v>
      </c>
      <c r="B3279" s="58" t="s">
        <v>2102</v>
      </c>
    </row>
    <row r="3280" spans="1:2" x14ac:dyDescent="0.25">
      <c r="A3280" s="57">
        <v>26141701</v>
      </c>
      <c r="B3280" s="58" t="s">
        <v>11588</v>
      </c>
    </row>
    <row r="3281" spans="1:2" x14ac:dyDescent="0.25">
      <c r="A3281" s="57">
        <v>26141702</v>
      </c>
      <c r="B3281" s="58" t="s">
        <v>246</v>
      </c>
    </row>
    <row r="3282" spans="1:2" x14ac:dyDescent="0.25">
      <c r="A3282" s="57">
        <v>26141703</v>
      </c>
      <c r="B3282" s="58" t="s">
        <v>3719</v>
      </c>
    </row>
    <row r="3283" spans="1:2" x14ac:dyDescent="0.25">
      <c r="A3283" s="57">
        <v>26141704</v>
      </c>
      <c r="B3283" s="58" t="s">
        <v>10470</v>
      </c>
    </row>
    <row r="3284" spans="1:2" x14ac:dyDescent="0.25">
      <c r="A3284" s="57">
        <v>26141801</v>
      </c>
      <c r="B3284" s="58" t="s">
        <v>7754</v>
      </c>
    </row>
    <row r="3285" spans="1:2" x14ac:dyDescent="0.25">
      <c r="A3285" s="57">
        <v>26141802</v>
      </c>
      <c r="B3285" s="58" t="s">
        <v>11422</v>
      </c>
    </row>
    <row r="3286" spans="1:2" x14ac:dyDescent="0.25">
      <c r="A3286" s="57">
        <v>26141803</v>
      </c>
      <c r="B3286" s="58" t="s">
        <v>18160</v>
      </c>
    </row>
    <row r="3287" spans="1:2" x14ac:dyDescent="0.25">
      <c r="A3287" s="57">
        <v>26141804</v>
      </c>
      <c r="B3287" s="58" t="s">
        <v>14126</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13131</v>
      </c>
    </row>
    <row r="3293" spans="1:2" x14ac:dyDescent="0.25">
      <c r="A3293" s="57">
        <v>26141901</v>
      </c>
      <c r="B3293" s="58" t="s">
        <v>14810</v>
      </c>
    </row>
    <row r="3294" spans="1:2" x14ac:dyDescent="0.25">
      <c r="A3294" s="57">
        <v>26141902</v>
      </c>
      <c r="B3294" s="58" t="s">
        <v>14324</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9629</v>
      </c>
    </row>
    <row r="3301" spans="1:2" x14ac:dyDescent="0.25">
      <c r="A3301" s="57">
        <v>26141910</v>
      </c>
      <c r="B3301" s="58" t="s">
        <v>10880</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17894</v>
      </c>
    </row>
    <row r="3311" spans="1:2" x14ac:dyDescent="0.25">
      <c r="A3311" s="57">
        <v>26142106</v>
      </c>
      <c r="B3311" s="58" t="s">
        <v>11450</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13837</v>
      </c>
    </row>
    <row r="3316" spans="1:2" x14ac:dyDescent="0.25">
      <c r="A3316" s="57">
        <v>26142302</v>
      </c>
      <c r="B3316" s="58" t="s">
        <v>8773</v>
      </c>
    </row>
    <row r="3317" spans="1:2" x14ac:dyDescent="0.25">
      <c r="A3317" s="57">
        <v>26142303</v>
      </c>
      <c r="B3317" s="58" t="s">
        <v>12961</v>
      </c>
    </row>
    <row r="3318" spans="1:2" x14ac:dyDescent="0.25">
      <c r="A3318" s="57">
        <v>26142304</v>
      </c>
      <c r="B3318" s="58" t="s">
        <v>556</v>
      </c>
    </row>
    <row r="3319" spans="1:2" x14ac:dyDescent="0.25">
      <c r="A3319" s="57">
        <v>26142306</v>
      </c>
      <c r="B3319" s="58" t="s">
        <v>13623</v>
      </c>
    </row>
    <row r="3320" spans="1:2" x14ac:dyDescent="0.25">
      <c r="A3320" s="57">
        <v>26142307</v>
      </c>
      <c r="B3320" s="58" t="s">
        <v>9688</v>
      </c>
    </row>
    <row r="3321" spans="1:2" x14ac:dyDescent="0.25">
      <c r="A3321" s="57">
        <v>26142308</v>
      </c>
      <c r="B3321" s="58" t="s">
        <v>4668</v>
      </c>
    </row>
    <row r="3322" spans="1:2" x14ac:dyDescent="0.25">
      <c r="A3322" s="57">
        <v>26142310</v>
      </c>
      <c r="B3322" s="58" t="s">
        <v>17738</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12092</v>
      </c>
    </row>
    <row r="3329" spans="1:2" x14ac:dyDescent="0.25">
      <c r="A3329" s="57">
        <v>26142405</v>
      </c>
      <c r="B3329" s="58" t="s">
        <v>13365</v>
      </c>
    </row>
    <row r="3330" spans="1:2" x14ac:dyDescent="0.25">
      <c r="A3330" s="57">
        <v>26142406</v>
      </c>
      <c r="B3330" s="58" t="s">
        <v>13447</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11084</v>
      </c>
    </row>
    <row r="3343" spans="1:2" x14ac:dyDescent="0.25">
      <c r="A3343" s="57">
        <v>27111511</v>
      </c>
      <c r="B3343" s="58" t="s">
        <v>9950</v>
      </c>
    </row>
    <row r="3344" spans="1:2" x14ac:dyDescent="0.25">
      <c r="A3344" s="57">
        <v>27111512</v>
      </c>
      <c r="B3344" s="58" t="s">
        <v>1367</v>
      </c>
    </row>
    <row r="3345" spans="1:2" x14ac:dyDescent="0.25">
      <c r="A3345" s="57">
        <v>27111513</v>
      </c>
      <c r="B3345" s="58" t="s">
        <v>13454</v>
      </c>
    </row>
    <row r="3346" spans="1:2" x14ac:dyDescent="0.25">
      <c r="A3346" s="57">
        <v>27111514</v>
      </c>
      <c r="B3346" s="58" t="s">
        <v>15640</v>
      </c>
    </row>
    <row r="3347" spans="1:2" x14ac:dyDescent="0.25">
      <c r="A3347" s="57">
        <v>27111515</v>
      </c>
      <c r="B3347" s="58" t="s">
        <v>12054</v>
      </c>
    </row>
    <row r="3348" spans="1:2" x14ac:dyDescent="0.25">
      <c r="A3348" s="57">
        <v>27111516</v>
      </c>
      <c r="B3348" s="58" t="s">
        <v>4146</v>
      </c>
    </row>
    <row r="3349" spans="1:2" x14ac:dyDescent="0.25">
      <c r="A3349" s="57">
        <v>27111517</v>
      </c>
      <c r="B3349" s="58" t="s">
        <v>10450</v>
      </c>
    </row>
    <row r="3350" spans="1:2" x14ac:dyDescent="0.25">
      <c r="A3350" s="57">
        <v>27111518</v>
      </c>
      <c r="B3350" s="58" t="s">
        <v>9000</v>
      </c>
    </row>
    <row r="3351" spans="1:2" x14ac:dyDescent="0.25">
      <c r="A3351" s="57">
        <v>27111519</v>
      </c>
      <c r="B3351" s="58" t="s">
        <v>8506</v>
      </c>
    </row>
    <row r="3352" spans="1:2" x14ac:dyDescent="0.25">
      <c r="A3352" s="57">
        <v>27111520</v>
      </c>
      <c r="B3352" s="58" t="s">
        <v>14252</v>
      </c>
    </row>
    <row r="3353" spans="1:2" x14ac:dyDescent="0.25">
      <c r="A3353" s="57">
        <v>27111521</v>
      </c>
      <c r="B3353" s="58" t="s">
        <v>301</v>
      </c>
    </row>
    <row r="3354" spans="1:2" x14ac:dyDescent="0.25">
      <c r="A3354" s="57">
        <v>27111601</v>
      </c>
      <c r="B3354" s="58" t="s">
        <v>10986</v>
      </c>
    </row>
    <row r="3355" spans="1:2" x14ac:dyDescent="0.25">
      <c r="A3355" s="57">
        <v>27111602</v>
      </c>
      <c r="B3355" s="58" t="s">
        <v>5668</v>
      </c>
    </row>
    <row r="3356" spans="1:2" x14ac:dyDescent="0.25">
      <c r="A3356" s="57">
        <v>27111603</v>
      </c>
      <c r="B3356" s="58" t="s">
        <v>12244</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10028</v>
      </c>
    </row>
    <row r="3363" spans="1:2" x14ac:dyDescent="0.25">
      <c r="A3363" s="57">
        <v>27111702</v>
      </c>
      <c r="B3363" s="58" t="s">
        <v>15487</v>
      </c>
    </row>
    <row r="3364" spans="1:2" x14ac:dyDescent="0.25">
      <c r="A3364" s="57">
        <v>27111703</v>
      </c>
      <c r="B3364" s="58" t="s">
        <v>5161</v>
      </c>
    </row>
    <row r="3365" spans="1:2" x14ac:dyDescent="0.25">
      <c r="A3365" s="57">
        <v>27111704</v>
      </c>
      <c r="B3365" s="58" t="s">
        <v>13506</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12017</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13518</v>
      </c>
    </row>
    <row r="3380" spans="1:2" x14ac:dyDescent="0.25">
      <c r="A3380" s="57">
        <v>27111720</v>
      </c>
      <c r="B3380" s="58" t="s">
        <v>9725</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10110</v>
      </c>
    </row>
    <row r="3388" spans="1:2" x14ac:dyDescent="0.25">
      <c r="A3388" s="57">
        <v>27111801</v>
      </c>
      <c r="B3388" s="58" t="s">
        <v>10414</v>
      </c>
    </row>
    <row r="3389" spans="1:2" x14ac:dyDescent="0.25">
      <c r="A3389" s="57">
        <v>27111802</v>
      </c>
      <c r="B3389" s="58" t="s">
        <v>4736</v>
      </c>
    </row>
    <row r="3390" spans="1:2" x14ac:dyDescent="0.25">
      <c r="A3390" s="57">
        <v>27111803</v>
      </c>
      <c r="B3390" s="58" t="s">
        <v>14731</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14689</v>
      </c>
    </row>
    <row r="3398" spans="1:2" x14ac:dyDescent="0.25">
      <c r="A3398" s="57">
        <v>27111903</v>
      </c>
      <c r="B3398" s="58" t="s">
        <v>13716</v>
      </c>
    </row>
    <row r="3399" spans="1:2" x14ac:dyDescent="0.25">
      <c r="A3399" s="57">
        <v>27111904</v>
      </c>
      <c r="B3399" s="58" t="s">
        <v>10464</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12103</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9833</v>
      </c>
    </row>
    <row r="3420" spans="1:2" x14ac:dyDescent="0.25">
      <c r="A3420" s="57">
        <v>27112014</v>
      </c>
      <c r="B3420" s="58" t="s">
        <v>14308</v>
      </c>
    </row>
    <row r="3421" spans="1:2" x14ac:dyDescent="0.25">
      <c r="A3421" s="57">
        <v>27112015</v>
      </c>
      <c r="B3421" s="58" t="s">
        <v>10287</v>
      </c>
    </row>
    <row r="3422" spans="1:2" x14ac:dyDescent="0.25">
      <c r="A3422" s="57">
        <v>27112016</v>
      </c>
      <c r="B3422" s="58" t="s">
        <v>17357</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9980</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12032</v>
      </c>
    </row>
    <row r="3441" spans="1:2" x14ac:dyDescent="0.25">
      <c r="A3441" s="57">
        <v>27112119</v>
      </c>
      <c r="B3441" s="58" t="s">
        <v>5952</v>
      </c>
    </row>
    <row r="3442" spans="1:2" x14ac:dyDescent="0.25">
      <c r="A3442" s="57">
        <v>27112120</v>
      </c>
      <c r="B3442" s="58" t="s">
        <v>10153</v>
      </c>
    </row>
    <row r="3443" spans="1:2" x14ac:dyDescent="0.25">
      <c r="A3443" s="57">
        <v>27112121</v>
      </c>
      <c r="B3443" s="58" t="s">
        <v>11174</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12811</v>
      </c>
    </row>
    <row r="3448" spans="1:2" x14ac:dyDescent="0.25">
      <c r="A3448" s="57">
        <v>27112126</v>
      </c>
      <c r="B3448" s="58" t="s">
        <v>11716</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9578</v>
      </c>
    </row>
    <row r="3453" spans="1:2" x14ac:dyDescent="0.25">
      <c r="A3453" s="57">
        <v>27112131</v>
      </c>
      <c r="B3453" s="58" t="s">
        <v>14037</v>
      </c>
    </row>
    <row r="3454" spans="1:2" x14ac:dyDescent="0.25">
      <c r="A3454" s="57">
        <v>27112132</v>
      </c>
      <c r="B3454" s="58" t="s">
        <v>6287</v>
      </c>
    </row>
    <row r="3455" spans="1:2" x14ac:dyDescent="0.25">
      <c r="A3455" s="57">
        <v>27112133</v>
      </c>
      <c r="B3455" s="58" t="s">
        <v>12767</v>
      </c>
    </row>
    <row r="3456" spans="1:2" x14ac:dyDescent="0.25">
      <c r="A3456" s="57">
        <v>27112134</v>
      </c>
      <c r="B3456" s="58" t="s">
        <v>14086</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10181</v>
      </c>
    </row>
    <row r="3462" spans="1:2" x14ac:dyDescent="0.25">
      <c r="A3462" s="57">
        <v>27112302</v>
      </c>
      <c r="B3462" s="58" t="s">
        <v>13551</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11384</v>
      </c>
    </row>
    <row r="3468" spans="1:2" x14ac:dyDescent="0.25">
      <c r="A3468" s="57">
        <v>27112402</v>
      </c>
      <c r="B3468" s="58" t="s">
        <v>12177</v>
      </c>
    </row>
    <row r="3469" spans="1:2" x14ac:dyDescent="0.25">
      <c r="A3469" s="57">
        <v>27112403</v>
      </c>
      <c r="B3469" s="58" t="s">
        <v>3217</v>
      </c>
    </row>
    <row r="3470" spans="1:2" x14ac:dyDescent="0.25">
      <c r="A3470" s="57">
        <v>27112404</v>
      </c>
      <c r="B3470" s="58" t="s">
        <v>13874</v>
      </c>
    </row>
    <row r="3471" spans="1:2" x14ac:dyDescent="0.25">
      <c r="A3471" s="57">
        <v>27112405</v>
      </c>
      <c r="B3471" s="58" t="s">
        <v>11838</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10009</v>
      </c>
    </row>
    <row r="3477" spans="1:2" x14ac:dyDescent="0.25">
      <c r="A3477" s="57">
        <v>27112504</v>
      </c>
      <c r="B3477" s="58" t="s">
        <v>11358</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17674</v>
      </c>
    </row>
    <row r="3487" spans="1:2" x14ac:dyDescent="0.25">
      <c r="A3487" s="57">
        <v>27112706</v>
      </c>
      <c r="B3487" s="58" t="s">
        <v>10393</v>
      </c>
    </row>
    <row r="3488" spans="1:2" x14ac:dyDescent="0.25">
      <c r="A3488" s="57">
        <v>27112707</v>
      </c>
      <c r="B3488" s="58" t="s">
        <v>8942</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12365</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9625</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14512</v>
      </c>
    </row>
    <row r="3504" spans="1:2" x14ac:dyDescent="0.25">
      <c r="A3504" s="57">
        <v>27112802</v>
      </c>
      <c r="B3504" s="58" t="s">
        <v>18478</v>
      </c>
    </row>
    <row r="3505" spans="1:2" x14ac:dyDescent="0.25">
      <c r="A3505" s="57">
        <v>27112803</v>
      </c>
      <c r="B3505" s="58" t="s">
        <v>9921</v>
      </c>
    </row>
    <row r="3506" spans="1:2" x14ac:dyDescent="0.25">
      <c r="A3506" s="57">
        <v>27112804</v>
      </c>
      <c r="B3506" s="58" t="s">
        <v>9901</v>
      </c>
    </row>
    <row r="3507" spans="1:2" x14ac:dyDescent="0.25">
      <c r="A3507" s="57">
        <v>27112805</v>
      </c>
      <c r="B3507" s="58" t="s">
        <v>15870</v>
      </c>
    </row>
    <row r="3508" spans="1:2" x14ac:dyDescent="0.25">
      <c r="A3508" s="57">
        <v>27112806</v>
      </c>
      <c r="B3508" s="58" t="s">
        <v>846</v>
      </c>
    </row>
    <row r="3509" spans="1:2" x14ac:dyDescent="0.25">
      <c r="A3509" s="57">
        <v>27112807</v>
      </c>
      <c r="B3509" s="58" t="s">
        <v>11358</v>
      </c>
    </row>
    <row r="3510" spans="1:2" x14ac:dyDescent="0.25">
      <c r="A3510" s="57">
        <v>27112808</v>
      </c>
      <c r="B3510" s="58" t="s">
        <v>16311</v>
      </c>
    </row>
    <row r="3511" spans="1:2" x14ac:dyDescent="0.25">
      <c r="A3511" s="57">
        <v>27112809</v>
      </c>
      <c r="B3511" s="58" t="s">
        <v>7759</v>
      </c>
    </row>
    <row r="3512" spans="1:2" x14ac:dyDescent="0.25">
      <c r="A3512" s="57">
        <v>27112810</v>
      </c>
      <c r="B3512" s="58" t="s">
        <v>17403</v>
      </c>
    </row>
    <row r="3513" spans="1:2" x14ac:dyDescent="0.25">
      <c r="A3513" s="57">
        <v>27112811</v>
      </c>
      <c r="B3513" s="58" t="s">
        <v>14485</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8219</v>
      </c>
    </row>
    <row r="3520" spans="1:2" x14ac:dyDescent="0.25">
      <c r="A3520" s="57">
        <v>27112820</v>
      </c>
      <c r="B3520" s="58" t="s">
        <v>11446</v>
      </c>
    </row>
    <row r="3521" spans="1:2" x14ac:dyDescent="0.25">
      <c r="A3521" s="57">
        <v>27112821</v>
      </c>
      <c r="B3521" s="58" t="s">
        <v>3670</v>
      </c>
    </row>
    <row r="3522" spans="1:2" x14ac:dyDescent="0.25">
      <c r="A3522" s="57">
        <v>27112822</v>
      </c>
      <c r="B3522" s="58" t="s">
        <v>17779</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11041</v>
      </c>
    </row>
    <row r="3527" spans="1:2" x14ac:dyDescent="0.25">
      <c r="A3527" s="57">
        <v>27112901</v>
      </c>
      <c r="B3527" s="58" t="s">
        <v>10695</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10962</v>
      </c>
    </row>
    <row r="3532" spans="1:2" x14ac:dyDescent="0.25">
      <c r="A3532" s="57">
        <v>27112906</v>
      </c>
      <c r="B3532" s="58" t="s">
        <v>9817</v>
      </c>
    </row>
    <row r="3533" spans="1:2" x14ac:dyDescent="0.25">
      <c r="A3533" s="57">
        <v>27112907</v>
      </c>
      <c r="B3533" s="58" t="s">
        <v>18078</v>
      </c>
    </row>
    <row r="3534" spans="1:2" x14ac:dyDescent="0.25">
      <c r="A3534" s="57">
        <v>27112908</v>
      </c>
      <c r="B3534" s="58" t="s">
        <v>17987</v>
      </c>
    </row>
    <row r="3535" spans="1:2" x14ac:dyDescent="0.25">
      <c r="A3535" s="57">
        <v>27113001</v>
      </c>
      <c r="B3535" s="58" t="s">
        <v>12108</v>
      </c>
    </row>
    <row r="3536" spans="1:2" x14ac:dyDescent="0.25">
      <c r="A3536" s="57">
        <v>27113002</v>
      </c>
      <c r="B3536" s="58" t="s">
        <v>8350</v>
      </c>
    </row>
    <row r="3537" spans="1:2" x14ac:dyDescent="0.25">
      <c r="A3537" s="57">
        <v>27113003</v>
      </c>
      <c r="B3537" s="58" t="s">
        <v>993</v>
      </c>
    </row>
    <row r="3538" spans="1:2" x14ac:dyDescent="0.25">
      <c r="A3538" s="57">
        <v>27113004</v>
      </c>
      <c r="B3538" s="58" t="s">
        <v>10050</v>
      </c>
    </row>
    <row r="3539" spans="1:2" x14ac:dyDescent="0.25">
      <c r="A3539" s="57">
        <v>27113101</v>
      </c>
      <c r="B3539" s="58" t="s">
        <v>9483</v>
      </c>
    </row>
    <row r="3540" spans="1:2" x14ac:dyDescent="0.25">
      <c r="A3540" s="57">
        <v>27113102</v>
      </c>
      <c r="B3540" s="58" t="s">
        <v>2307</v>
      </c>
    </row>
    <row r="3541" spans="1:2" x14ac:dyDescent="0.25">
      <c r="A3541" s="57">
        <v>27113103</v>
      </c>
      <c r="B3541" s="58" t="s">
        <v>13558</v>
      </c>
    </row>
    <row r="3542" spans="1:2" x14ac:dyDescent="0.25">
      <c r="A3542" s="57">
        <v>27113201</v>
      </c>
      <c r="B3542" s="58" t="s">
        <v>9309</v>
      </c>
    </row>
    <row r="3543" spans="1:2" x14ac:dyDescent="0.25">
      <c r="A3543" s="57">
        <v>27113202</v>
      </c>
      <c r="B3543" s="58" t="s">
        <v>14844</v>
      </c>
    </row>
    <row r="3544" spans="1:2" x14ac:dyDescent="0.25">
      <c r="A3544" s="57">
        <v>27113203</v>
      </c>
      <c r="B3544" s="58" t="s">
        <v>14677</v>
      </c>
    </row>
    <row r="3545" spans="1:2" x14ac:dyDescent="0.25">
      <c r="A3545" s="57">
        <v>27113204</v>
      </c>
      <c r="B3545" s="58" t="s">
        <v>8306</v>
      </c>
    </row>
    <row r="3546" spans="1:2" x14ac:dyDescent="0.25">
      <c r="A3546" s="57">
        <v>27121501</v>
      </c>
      <c r="B3546" s="58" t="s">
        <v>17835</v>
      </c>
    </row>
    <row r="3547" spans="1:2" x14ac:dyDescent="0.25">
      <c r="A3547" s="57">
        <v>27121502</v>
      </c>
      <c r="B3547" s="58" t="s">
        <v>15375</v>
      </c>
    </row>
    <row r="3548" spans="1:2" x14ac:dyDescent="0.25">
      <c r="A3548" s="57">
        <v>27121503</v>
      </c>
      <c r="B3548" s="58" t="s">
        <v>8549</v>
      </c>
    </row>
    <row r="3549" spans="1:2" x14ac:dyDescent="0.25">
      <c r="A3549" s="57">
        <v>27121601</v>
      </c>
      <c r="B3549" s="58" t="s">
        <v>11101</v>
      </c>
    </row>
    <row r="3550" spans="1:2" x14ac:dyDescent="0.25">
      <c r="A3550" s="57">
        <v>27121602</v>
      </c>
      <c r="B3550" s="58" t="s">
        <v>18748</v>
      </c>
    </row>
    <row r="3551" spans="1:2" x14ac:dyDescent="0.25">
      <c r="A3551" s="57">
        <v>27121603</v>
      </c>
      <c r="B3551" s="58" t="s">
        <v>18468</v>
      </c>
    </row>
    <row r="3552" spans="1:2" x14ac:dyDescent="0.25">
      <c r="A3552" s="57">
        <v>27121604</v>
      </c>
      <c r="B3552" s="58" t="s">
        <v>7414</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12548</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14437</v>
      </c>
    </row>
    <row r="3561" spans="1:2" x14ac:dyDescent="0.25">
      <c r="A3561" s="57">
        <v>27121707</v>
      </c>
      <c r="B3561" s="58" t="s">
        <v>8213</v>
      </c>
    </row>
    <row r="3562" spans="1:2" x14ac:dyDescent="0.25">
      <c r="A3562" s="57">
        <v>27126101</v>
      </c>
      <c r="B3562" s="58" t="s">
        <v>10314</v>
      </c>
    </row>
    <row r="3563" spans="1:2" x14ac:dyDescent="0.25">
      <c r="A3563" s="57">
        <v>27126102</v>
      </c>
      <c r="B3563" s="58" t="s">
        <v>12807</v>
      </c>
    </row>
    <row r="3564" spans="1:2" x14ac:dyDescent="0.25">
      <c r="A3564" s="57">
        <v>27131501</v>
      </c>
      <c r="B3564" s="58" t="s">
        <v>17416</v>
      </c>
    </row>
    <row r="3565" spans="1:2" x14ac:dyDescent="0.25">
      <c r="A3565" s="57">
        <v>27131502</v>
      </c>
      <c r="B3565" s="58" t="s">
        <v>10704</v>
      </c>
    </row>
    <row r="3566" spans="1:2" x14ac:dyDescent="0.25">
      <c r="A3566" s="57">
        <v>27131504</v>
      </c>
      <c r="B3566" s="58" t="s">
        <v>17172</v>
      </c>
    </row>
    <row r="3567" spans="1:2" x14ac:dyDescent="0.25">
      <c r="A3567" s="57">
        <v>27131505</v>
      </c>
      <c r="B3567" s="58" t="s">
        <v>10551</v>
      </c>
    </row>
    <row r="3568" spans="1:2" x14ac:dyDescent="0.25">
      <c r="A3568" s="57">
        <v>27131506</v>
      </c>
      <c r="B3568" s="58" t="s">
        <v>6242</v>
      </c>
    </row>
    <row r="3569" spans="1:2" x14ac:dyDescent="0.25">
      <c r="A3569" s="57">
        <v>27131507</v>
      </c>
      <c r="B3569" s="58" t="s">
        <v>416</v>
      </c>
    </row>
    <row r="3570" spans="1:2" x14ac:dyDescent="0.25">
      <c r="A3570" s="57">
        <v>27131508</v>
      </c>
      <c r="B3570" s="58" t="s">
        <v>9742</v>
      </c>
    </row>
    <row r="3571" spans="1:2" x14ac:dyDescent="0.25">
      <c r="A3571" s="57">
        <v>27131509</v>
      </c>
      <c r="B3571" s="58" t="s">
        <v>7862</v>
      </c>
    </row>
    <row r="3572" spans="1:2" x14ac:dyDescent="0.25">
      <c r="A3572" s="57">
        <v>27131510</v>
      </c>
      <c r="B3572" s="58" t="s">
        <v>13621</v>
      </c>
    </row>
    <row r="3573" spans="1:2" x14ac:dyDescent="0.25">
      <c r="A3573" s="57">
        <v>27131511</v>
      </c>
      <c r="B3573" s="58" t="s">
        <v>10337</v>
      </c>
    </row>
    <row r="3574" spans="1:2" x14ac:dyDescent="0.25">
      <c r="A3574" s="57">
        <v>27131512</v>
      </c>
      <c r="B3574" s="58" t="s">
        <v>5706</v>
      </c>
    </row>
    <row r="3575" spans="1:2" x14ac:dyDescent="0.25">
      <c r="A3575" s="57">
        <v>27131601</v>
      </c>
      <c r="B3575" s="58" t="s">
        <v>10054</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13087</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12299</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12358</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10432</v>
      </c>
    </row>
    <row r="3595" spans="1:2" x14ac:dyDescent="0.25">
      <c r="A3595" s="57">
        <v>30101501</v>
      </c>
      <c r="B3595" s="58" t="s">
        <v>9478</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11039</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12581</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12046</v>
      </c>
    </row>
    <row r="3622" spans="1:2" x14ac:dyDescent="0.25">
      <c r="A3622" s="57">
        <v>30101611</v>
      </c>
      <c r="B3622" s="58" t="s">
        <v>4656</v>
      </c>
    </row>
    <row r="3623" spans="1:2" x14ac:dyDescent="0.25">
      <c r="A3623" s="57">
        <v>30101612</v>
      </c>
      <c r="B3623" s="58" t="s">
        <v>7533</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12180</v>
      </c>
    </row>
    <row r="3628" spans="1:2" x14ac:dyDescent="0.25">
      <c r="A3628" s="57">
        <v>30101617</v>
      </c>
      <c r="B3628" s="58" t="s">
        <v>16866</v>
      </c>
    </row>
    <row r="3629" spans="1:2" x14ac:dyDescent="0.25">
      <c r="A3629" s="57">
        <v>30101618</v>
      </c>
      <c r="B3629" s="58" t="s">
        <v>14636</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16256</v>
      </c>
    </row>
    <row r="3635" spans="1:2" x14ac:dyDescent="0.25">
      <c r="A3635" s="57">
        <v>30101706</v>
      </c>
      <c r="B3635" s="58" t="s">
        <v>17752</v>
      </c>
    </row>
    <row r="3636" spans="1:2" x14ac:dyDescent="0.25">
      <c r="A3636" s="57">
        <v>30101707</v>
      </c>
      <c r="B3636" s="58" t="s">
        <v>9770</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11035</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11223</v>
      </c>
    </row>
    <row r="3650" spans="1:2" x14ac:dyDescent="0.25">
      <c r="A3650" s="57">
        <v>30101803</v>
      </c>
      <c r="B3650" s="58" t="s">
        <v>11701</v>
      </c>
    </row>
    <row r="3651" spans="1:2" x14ac:dyDescent="0.25">
      <c r="A3651" s="57">
        <v>30101804</v>
      </c>
      <c r="B3651" s="58" t="s">
        <v>12508</v>
      </c>
    </row>
    <row r="3652" spans="1:2" x14ac:dyDescent="0.25">
      <c r="A3652" s="57">
        <v>30101805</v>
      </c>
      <c r="B3652" s="58" t="s">
        <v>11250</v>
      </c>
    </row>
    <row r="3653" spans="1:2" x14ac:dyDescent="0.25">
      <c r="A3653" s="57">
        <v>30101806</v>
      </c>
      <c r="B3653" s="58" t="s">
        <v>12659</v>
      </c>
    </row>
    <row r="3654" spans="1:2" x14ac:dyDescent="0.25">
      <c r="A3654" s="57">
        <v>30101807</v>
      </c>
      <c r="B3654" s="58" t="s">
        <v>15556</v>
      </c>
    </row>
    <row r="3655" spans="1:2" x14ac:dyDescent="0.25">
      <c r="A3655" s="57">
        <v>30101808</v>
      </c>
      <c r="B3655" s="58" t="s">
        <v>10300</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11014</v>
      </c>
    </row>
    <row r="3661" spans="1:2" x14ac:dyDescent="0.25">
      <c r="A3661" s="57">
        <v>30101814</v>
      </c>
      <c r="B3661" s="58" t="s">
        <v>7979</v>
      </c>
    </row>
    <row r="3662" spans="1:2" x14ac:dyDescent="0.25">
      <c r="A3662" s="57">
        <v>30101815</v>
      </c>
      <c r="B3662" s="58" t="s">
        <v>11360</v>
      </c>
    </row>
    <row r="3663" spans="1:2" x14ac:dyDescent="0.25">
      <c r="A3663" s="57">
        <v>30101816</v>
      </c>
      <c r="B3663" s="58" t="s">
        <v>13535</v>
      </c>
    </row>
    <row r="3664" spans="1:2" x14ac:dyDescent="0.25">
      <c r="A3664" s="57">
        <v>30101817</v>
      </c>
      <c r="B3664" s="58" t="s">
        <v>7276</v>
      </c>
    </row>
    <row r="3665" spans="1:2" x14ac:dyDescent="0.25">
      <c r="A3665" s="57">
        <v>30101901</v>
      </c>
      <c r="B3665" s="58" t="s">
        <v>11277</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13148</v>
      </c>
    </row>
    <row r="3672" spans="1:2" x14ac:dyDescent="0.25">
      <c r="A3672" s="57">
        <v>30101908</v>
      </c>
      <c r="B3672" s="58" t="s">
        <v>17084</v>
      </c>
    </row>
    <row r="3673" spans="1:2" x14ac:dyDescent="0.25">
      <c r="A3673" s="57">
        <v>30101909</v>
      </c>
      <c r="B3673" s="58" t="s">
        <v>1153</v>
      </c>
    </row>
    <row r="3674" spans="1:2" x14ac:dyDescent="0.25">
      <c r="A3674" s="57">
        <v>30101910</v>
      </c>
      <c r="B3674" s="58" t="s">
        <v>12745</v>
      </c>
    </row>
    <row r="3675" spans="1:2" x14ac:dyDescent="0.25">
      <c r="A3675" s="57">
        <v>30101911</v>
      </c>
      <c r="B3675" s="58" t="s">
        <v>15086</v>
      </c>
    </row>
    <row r="3676" spans="1:2" x14ac:dyDescent="0.25">
      <c r="A3676" s="57">
        <v>30101912</v>
      </c>
      <c r="B3676" s="58" t="s">
        <v>13274</v>
      </c>
    </row>
    <row r="3677" spans="1:2" x14ac:dyDescent="0.25">
      <c r="A3677" s="57">
        <v>30101913</v>
      </c>
      <c r="B3677" s="58" t="s">
        <v>6454</v>
      </c>
    </row>
    <row r="3678" spans="1:2" x14ac:dyDescent="0.25">
      <c r="A3678" s="57">
        <v>30101914</v>
      </c>
      <c r="B3678" s="58" t="s">
        <v>11695</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11768</v>
      </c>
    </row>
    <row r="3685" spans="1:2" x14ac:dyDescent="0.25">
      <c r="A3685" s="57">
        <v>30101922</v>
      </c>
      <c r="B3685" s="58" t="s">
        <v>4580</v>
      </c>
    </row>
    <row r="3686" spans="1:2" x14ac:dyDescent="0.25">
      <c r="A3686" s="57">
        <v>30101923</v>
      </c>
      <c r="B3686" s="58" t="s">
        <v>13179</v>
      </c>
    </row>
    <row r="3687" spans="1:2" x14ac:dyDescent="0.25">
      <c r="A3687" s="57">
        <v>30102001</v>
      </c>
      <c r="B3687" s="58" t="s">
        <v>8670</v>
      </c>
    </row>
    <row r="3688" spans="1:2" x14ac:dyDescent="0.25">
      <c r="A3688" s="57">
        <v>30102002</v>
      </c>
      <c r="B3688" s="58" t="s">
        <v>13095</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11853</v>
      </c>
    </row>
    <row r="3698" spans="1:2" x14ac:dyDescent="0.25">
      <c r="A3698" s="57">
        <v>30102012</v>
      </c>
      <c r="B3698" s="58" t="s">
        <v>10083</v>
      </c>
    </row>
    <row r="3699" spans="1:2" x14ac:dyDescent="0.25">
      <c r="A3699" s="57">
        <v>30102013</v>
      </c>
      <c r="B3699" s="58" t="s">
        <v>5482</v>
      </c>
    </row>
    <row r="3700" spans="1:2" x14ac:dyDescent="0.25">
      <c r="A3700" s="57">
        <v>30102014</v>
      </c>
      <c r="B3700" s="58" t="s">
        <v>12697</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14644</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10605</v>
      </c>
    </row>
    <row r="3714" spans="1:2" x14ac:dyDescent="0.25">
      <c r="A3714" s="57">
        <v>30102213</v>
      </c>
      <c r="B3714" s="58" t="s">
        <v>9502</v>
      </c>
    </row>
    <row r="3715" spans="1:2" x14ac:dyDescent="0.25">
      <c r="A3715" s="57">
        <v>30102214</v>
      </c>
      <c r="B3715" s="58" t="s">
        <v>10412</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12669</v>
      </c>
    </row>
    <row r="3723" spans="1:2" x14ac:dyDescent="0.25">
      <c r="A3723" s="57">
        <v>30102303</v>
      </c>
      <c r="B3723" s="58" t="s">
        <v>217</v>
      </c>
    </row>
    <row r="3724" spans="1:2" x14ac:dyDescent="0.25">
      <c r="A3724" s="57">
        <v>30102304</v>
      </c>
      <c r="B3724" s="58" t="s">
        <v>15461</v>
      </c>
    </row>
    <row r="3725" spans="1:2" x14ac:dyDescent="0.25">
      <c r="A3725" s="57">
        <v>30102305</v>
      </c>
      <c r="B3725" s="58" t="s">
        <v>14476</v>
      </c>
    </row>
    <row r="3726" spans="1:2" x14ac:dyDescent="0.25">
      <c r="A3726" s="57">
        <v>30102306</v>
      </c>
      <c r="B3726" s="58" t="s">
        <v>4967</v>
      </c>
    </row>
    <row r="3727" spans="1:2" x14ac:dyDescent="0.25">
      <c r="A3727" s="57">
        <v>30102307</v>
      </c>
      <c r="B3727" s="58" t="s">
        <v>18075</v>
      </c>
    </row>
    <row r="3728" spans="1:2" x14ac:dyDescent="0.25">
      <c r="A3728" s="57">
        <v>30102308</v>
      </c>
      <c r="B3728" s="58" t="s">
        <v>7822</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10951</v>
      </c>
    </row>
    <row r="3737" spans="1:2" x14ac:dyDescent="0.25">
      <c r="A3737" s="57">
        <v>30102401</v>
      </c>
      <c r="B3737" s="58" t="s">
        <v>11154</v>
      </c>
    </row>
    <row r="3738" spans="1:2" x14ac:dyDescent="0.25">
      <c r="A3738" s="57">
        <v>30102402</v>
      </c>
      <c r="B3738" s="58" t="s">
        <v>16011</v>
      </c>
    </row>
    <row r="3739" spans="1:2" x14ac:dyDescent="0.25">
      <c r="A3739" s="57">
        <v>30102403</v>
      </c>
      <c r="B3739" s="58" t="s">
        <v>5949</v>
      </c>
    </row>
    <row r="3740" spans="1:2" x14ac:dyDescent="0.25">
      <c r="A3740" s="57">
        <v>30102404</v>
      </c>
      <c r="B3740" s="58" t="s">
        <v>12151</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11571</v>
      </c>
    </row>
    <row r="3747" spans="1:2" x14ac:dyDescent="0.25">
      <c r="A3747" s="57">
        <v>30102411</v>
      </c>
      <c r="B3747" s="58" t="s">
        <v>8710</v>
      </c>
    </row>
    <row r="3748" spans="1:2" x14ac:dyDescent="0.25">
      <c r="A3748" s="57">
        <v>30102412</v>
      </c>
      <c r="B3748" s="58" t="s">
        <v>11455</v>
      </c>
    </row>
    <row r="3749" spans="1:2" x14ac:dyDescent="0.25">
      <c r="A3749" s="57">
        <v>30102413</v>
      </c>
      <c r="B3749" s="58" t="s">
        <v>11254</v>
      </c>
    </row>
    <row r="3750" spans="1:2" x14ac:dyDescent="0.25">
      <c r="A3750" s="57">
        <v>30102414</v>
      </c>
      <c r="B3750" s="58" t="s">
        <v>11102</v>
      </c>
    </row>
    <row r="3751" spans="1:2" x14ac:dyDescent="0.25">
      <c r="A3751" s="57">
        <v>30102415</v>
      </c>
      <c r="B3751" s="58" t="s">
        <v>10429</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12424</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9442</v>
      </c>
    </row>
    <row r="3768" spans="1:2" x14ac:dyDescent="0.25">
      <c r="A3768" s="57">
        <v>30102515</v>
      </c>
      <c r="B3768" s="58" t="s">
        <v>13456</v>
      </c>
    </row>
    <row r="3769" spans="1:2" x14ac:dyDescent="0.25">
      <c r="A3769" s="57">
        <v>30102516</v>
      </c>
      <c r="B3769" s="58" t="s">
        <v>11960</v>
      </c>
    </row>
    <row r="3770" spans="1:2" x14ac:dyDescent="0.25">
      <c r="A3770" s="57">
        <v>30102517</v>
      </c>
      <c r="B3770" s="58" t="s">
        <v>13892</v>
      </c>
    </row>
    <row r="3771" spans="1:2" x14ac:dyDescent="0.25">
      <c r="A3771" s="57">
        <v>30102518</v>
      </c>
      <c r="B3771" s="58" t="s">
        <v>11794</v>
      </c>
    </row>
    <row r="3772" spans="1:2" x14ac:dyDescent="0.25">
      <c r="A3772" s="57">
        <v>30102519</v>
      </c>
      <c r="B3772" s="58" t="s">
        <v>13583</v>
      </c>
    </row>
    <row r="3773" spans="1:2" x14ac:dyDescent="0.25">
      <c r="A3773" s="57">
        <v>30102520</v>
      </c>
      <c r="B3773" s="58" t="s">
        <v>11302</v>
      </c>
    </row>
    <row r="3774" spans="1:2" x14ac:dyDescent="0.25">
      <c r="A3774" s="57">
        <v>30102521</v>
      </c>
      <c r="B3774" s="58" t="s">
        <v>17556</v>
      </c>
    </row>
    <row r="3775" spans="1:2" x14ac:dyDescent="0.25">
      <c r="A3775" s="57">
        <v>30102522</v>
      </c>
      <c r="B3775" s="58" t="s">
        <v>14732</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9368</v>
      </c>
    </row>
    <row r="3790" spans="1:2" x14ac:dyDescent="0.25">
      <c r="A3790" s="57">
        <v>30102611</v>
      </c>
      <c r="B3790" s="58" t="s">
        <v>3965</v>
      </c>
    </row>
    <row r="3791" spans="1:2" x14ac:dyDescent="0.25">
      <c r="A3791" s="57">
        <v>30102612</v>
      </c>
      <c r="B3791" s="58" t="s">
        <v>13313</v>
      </c>
    </row>
    <row r="3792" spans="1:2" x14ac:dyDescent="0.25">
      <c r="A3792" s="57">
        <v>30102613</v>
      </c>
      <c r="B3792" s="58" t="s">
        <v>8908</v>
      </c>
    </row>
    <row r="3793" spans="1:2" x14ac:dyDescent="0.25">
      <c r="A3793" s="57">
        <v>30102614</v>
      </c>
      <c r="B3793" s="58" t="s">
        <v>16654</v>
      </c>
    </row>
    <row r="3794" spans="1:2" x14ac:dyDescent="0.25">
      <c r="A3794" s="57">
        <v>30102615</v>
      </c>
      <c r="B3794" s="58" t="s">
        <v>14187</v>
      </c>
    </row>
    <row r="3795" spans="1:2" x14ac:dyDescent="0.25">
      <c r="A3795" s="57">
        <v>30102616</v>
      </c>
      <c r="B3795" s="58" t="s">
        <v>11708</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12042</v>
      </c>
    </row>
    <row r="3800" spans="1:2" x14ac:dyDescent="0.25">
      <c r="A3800" s="57">
        <v>30102903</v>
      </c>
      <c r="B3800" s="58" t="s">
        <v>18773</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17838</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13343</v>
      </c>
    </row>
    <row r="3812" spans="1:2" x14ac:dyDescent="0.25">
      <c r="A3812" s="57">
        <v>30103204</v>
      </c>
      <c r="B3812" s="58" t="s">
        <v>17613</v>
      </c>
    </row>
    <row r="3813" spans="1:2" x14ac:dyDescent="0.25">
      <c r="A3813" s="57">
        <v>30103205</v>
      </c>
      <c r="B3813" s="58" t="s">
        <v>11209</v>
      </c>
    </row>
    <row r="3814" spans="1:2" x14ac:dyDescent="0.25">
      <c r="A3814" s="57">
        <v>30103206</v>
      </c>
      <c r="B3814" s="58" t="s">
        <v>18825</v>
      </c>
    </row>
    <row r="3815" spans="1:2" x14ac:dyDescent="0.25">
      <c r="A3815" s="57">
        <v>30103301</v>
      </c>
      <c r="B3815" s="58" t="s">
        <v>5219</v>
      </c>
    </row>
    <row r="3816" spans="1:2" x14ac:dyDescent="0.25">
      <c r="A3816" s="57">
        <v>30103302</v>
      </c>
      <c r="B3816" s="58" t="s">
        <v>12204</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13233</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11800</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10241</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12232</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14105</v>
      </c>
    </row>
    <row r="3842" spans="1:2" x14ac:dyDescent="0.25">
      <c r="A3842" s="57">
        <v>30103502</v>
      </c>
      <c r="B3842" s="58" t="s">
        <v>1202</v>
      </c>
    </row>
    <row r="3843" spans="1:2" x14ac:dyDescent="0.25">
      <c r="A3843" s="57">
        <v>30103503</v>
      </c>
      <c r="B3843" s="58" t="s">
        <v>13054</v>
      </c>
    </row>
    <row r="3844" spans="1:2" x14ac:dyDescent="0.25">
      <c r="A3844" s="57">
        <v>30103504</v>
      </c>
      <c r="B3844" s="58" t="s">
        <v>15534</v>
      </c>
    </row>
    <row r="3845" spans="1:2" x14ac:dyDescent="0.25">
      <c r="A3845" s="57">
        <v>30103505</v>
      </c>
      <c r="B3845" s="58" t="s">
        <v>12649</v>
      </c>
    </row>
    <row r="3846" spans="1:2" x14ac:dyDescent="0.25">
      <c r="A3846" s="57">
        <v>30103506</v>
      </c>
      <c r="B3846" s="58" t="s">
        <v>8970</v>
      </c>
    </row>
    <row r="3847" spans="1:2" x14ac:dyDescent="0.25">
      <c r="A3847" s="57">
        <v>30103507</v>
      </c>
      <c r="B3847" s="58" t="s">
        <v>12191</v>
      </c>
    </row>
    <row r="3848" spans="1:2" x14ac:dyDescent="0.25">
      <c r="A3848" s="57">
        <v>30103508</v>
      </c>
      <c r="B3848" s="58" t="s">
        <v>10353</v>
      </c>
    </row>
    <row r="3849" spans="1:2" x14ac:dyDescent="0.25">
      <c r="A3849" s="57">
        <v>30103509</v>
      </c>
      <c r="B3849" s="58" t="s">
        <v>11640</v>
      </c>
    </row>
    <row r="3850" spans="1:2" x14ac:dyDescent="0.25">
      <c r="A3850" s="57">
        <v>30103510</v>
      </c>
      <c r="B3850" s="58" t="s">
        <v>7550</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11444</v>
      </c>
    </row>
    <row r="3857" spans="1:2" x14ac:dyDescent="0.25">
      <c r="A3857" s="57">
        <v>30103602</v>
      </c>
      <c r="B3857" s="58" t="s">
        <v>11937</v>
      </c>
    </row>
    <row r="3858" spans="1:2" x14ac:dyDescent="0.25">
      <c r="A3858" s="57">
        <v>30103603</v>
      </c>
      <c r="B3858" s="58" t="s">
        <v>6808</v>
      </c>
    </row>
    <row r="3859" spans="1:2" x14ac:dyDescent="0.25">
      <c r="A3859" s="57">
        <v>30103604</v>
      </c>
      <c r="B3859" s="58" t="s">
        <v>18416</v>
      </c>
    </row>
    <row r="3860" spans="1:2" x14ac:dyDescent="0.25">
      <c r="A3860" s="57">
        <v>30103605</v>
      </c>
      <c r="B3860" s="58" t="s">
        <v>11529</v>
      </c>
    </row>
    <row r="3861" spans="1:2" x14ac:dyDescent="0.25">
      <c r="A3861" s="57">
        <v>30103606</v>
      </c>
      <c r="B3861" s="58" t="s">
        <v>15136</v>
      </c>
    </row>
    <row r="3862" spans="1:2" x14ac:dyDescent="0.25">
      <c r="A3862" s="57">
        <v>30103607</v>
      </c>
      <c r="B3862" s="58" t="s">
        <v>8686</v>
      </c>
    </row>
    <row r="3863" spans="1:2" x14ac:dyDescent="0.25">
      <c r="A3863" s="57">
        <v>30103608</v>
      </c>
      <c r="B3863" s="58" t="s">
        <v>11330</v>
      </c>
    </row>
    <row r="3864" spans="1:2" x14ac:dyDescent="0.25">
      <c r="A3864" s="57">
        <v>30103701</v>
      </c>
      <c r="B3864" s="58" t="s">
        <v>5272</v>
      </c>
    </row>
    <row r="3865" spans="1:2" x14ac:dyDescent="0.25">
      <c r="A3865" s="57">
        <v>30111501</v>
      </c>
      <c r="B3865" s="58" t="s">
        <v>9200</v>
      </c>
    </row>
    <row r="3866" spans="1:2" x14ac:dyDescent="0.25">
      <c r="A3866" s="57">
        <v>30111502</v>
      </c>
      <c r="B3866" s="58" t="s">
        <v>11263</v>
      </c>
    </row>
    <row r="3867" spans="1:2" x14ac:dyDescent="0.25">
      <c r="A3867" s="57">
        <v>30111503</v>
      </c>
      <c r="B3867" s="58" t="s">
        <v>15001</v>
      </c>
    </row>
    <row r="3868" spans="1:2" x14ac:dyDescent="0.25">
      <c r="A3868" s="57">
        <v>30111504</v>
      </c>
      <c r="B3868" s="58" t="s">
        <v>12827</v>
      </c>
    </row>
    <row r="3869" spans="1:2" x14ac:dyDescent="0.25">
      <c r="A3869" s="57">
        <v>30111601</v>
      </c>
      <c r="B3869" s="58" t="s">
        <v>12778</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13367</v>
      </c>
    </row>
    <row r="3878" spans="1:2" x14ac:dyDescent="0.25">
      <c r="A3878" s="57">
        <v>30121503</v>
      </c>
      <c r="B3878" s="58" t="s">
        <v>5791</v>
      </c>
    </row>
    <row r="3879" spans="1:2" x14ac:dyDescent="0.25">
      <c r="A3879" s="57">
        <v>30121601</v>
      </c>
      <c r="B3879" s="58" t="s">
        <v>10458</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14310</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5596</v>
      </c>
    </row>
    <row r="3901" spans="1:2" x14ac:dyDescent="0.25">
      <c r="A3901" s="57">
        <v>30141510</v>
      </c>
      <c r="B3901" s="58" t="s">
        <v>11785</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12546</v>
      </c>
    </row>
    <row r="3908" spans="1:2" x14ac:dyDescent="0.25">
      <c r="A3908" s="57">
        <v>30151501</v>
      </c>
      <c r="B3908" s="58" t="s">
        <v>13257</v>
      </c>
    </row>
    <row r="3909" spans="1:2" x14ac:dyDescent="0.25">
      <c r="A3909" s="57">
        <v>30151502</v>
      </c>
      <c r="B3909" s="58" t="s">
        <v>6522</v>
      </c>
    </row>
    <row r="3910" spans="1:2" x14ac:dyDescent="0.25">
      <c r="A3910" s="57">
        <v>30151503</v>
      </c>
      <c r="B3910" s="58" t="s">
        <v>10005</v>
      </c>
    </row>
    <row r="3911" spans="1:2" x14ac:dyDescent="0.25">
      <c r="A3911" s="57">
        <v>30151504</v>
      </c>
      <c r="B3911" s="58" t="s">
        <v>8652</v>
      </c>
    </row>
    <row r="3912" spans="1:2" x14ac:dyDescent="0.25">
      <c r="A3912" s="57">
        <v>30151505</v>
      </c>
      <c r="B3912" s="58" t="s">
        <v>12880</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13985</v>
      </c>
    </row>
    <row r="3917" spans="1:2" x14ac:dyDescent="0.25">
      <c r="A3917" s="57">
        <v>30151510</v>
      </c>
      <c r="B3917" s="58" t="s">
        <v>12257</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13693</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11327</v>
      </c>
    </row>
    <row r="3929" spans="1:2" x14ac:dyDescent="0.25">
      <c r="A3929" s="57">
        <v>30151702</v>
      </c>
      <c r="B3929" s="58" t="s">
        <v>10265</v>
      </c>
    </row>
    <row r="3930" spans="1:2" x14ac:dyDescent="0.25">
      <c r="A3930" s="57">
        <v>30151703</v>
      </c>
      <c r="B3930" s="58" t="s">
        <v>5528</v>
      </c>
    </row>
    <row r="3931" spans="1:2" x14ac:dyDescent="0.25">
      <c r="A3931" s="57">
        <v>30151704</v>
      </c>
      <c r="B3931" s="58" t="s">
        <v>11967</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10135</v>
      </c>
    </row>
    <row r="3939" spans="1:2" x14ac:dyDescent="0.25">
      <c r="A3939" s="57">
        <v>30151902</v>
      </c>
      <c r="B3939" s="58" t="s">
        <v>8057</v>
      </c>
    </row>
    <row r="3940" spans="1:2" x14ac:dyDescent="0.25">
      <c r="A3940" s="57">
        <v>30152001</v>
      </c>
      <c r="B3940" s="58" t="s">
        <v>14026</v>
      </c>
    </row>
    <row r="3941" spans="1:2" x14ac:dyDescent="0.25">
      <c r="A3941" s="57">
        <v>30152002</v>
      </c>
      <c r="B3941" s="58" t="s">
        <v>17830</v>
      </c>
    </row>
    <row r="3942" spans="1:2" x14ac:dyDescent="0.25">
      <c r="A3942" s="57">
        <v>30152003</v>
      </c>
      <c r="B3942" s="58" t="s">
        <v>5480</v>
      </c>
    </row>
    <row r="3943" spans="1:2" x14ac:dyDescent="0.25">
      <c r="A3943" s="57">
        <v>30152101</v>
      </c>
      <c r="B3943" s="58" t="s">
        <v>8662</v>
      </c>
    </row>
    <row r="3944" spans="1:2" x14ac:dyDescent="0.25">
      <c r="A3944" s="57">
        <v>30161501</v>
      </c>
      <c r="B3944" s="58" t="s">
        <v>11729</v>
      </c>
    </row>
    <row r="3945" spans="1:2" x14ac:dyDescent="0.25">
      <c r="A3945" s="57">
        <v>30161502</v>
      </c>
      <c r="B3945" s="58" t="s">
        <v>13219</v>
      </c>
    </row>
    <row r="3946" spans="1:2" x14ac:dyDescent="0.25">
      <c r="A3946" s="57">
        <v>30161503</v>
      </c>
      <c r="B3946" s="58" t="s">
        <v>6134</v>
      </c>
    </row>
    <row r="3947" spans="1:2" x14ac:dyDescent="0.25">
      <c r="A3947" s="57">
        <v>30161504</v>
      </c>
      <c r="B3947" s="58" t="s">
        <v>9626</v>
      </c>
    </row>
    <row r="3948" spans="1:2" x14ac:dyDescent="0.25">
      <c r="A3948" s="57">
        <v>30161505</v>
      </c>
      <c r="B3948" s="58" t="s">
        <v>150</v>
      </c>
    </row>
    <row r="3949" spans="1:2" x14ac:dyDescent="0.25">
      <c r="A3949" s="57">
        <v>30161507</v>
      </c>
      <c r="B3949" s="58" t="s">
        <v>109</v>
      </c>
    </row>
    <row r="3950" spans="1:2" x14ac:dyDescent="0.25">
      <c r="A3950" s="57">
        <v>30161508</v>
      </c>
      <c r="B3950" s="58" t="s">
        <v>12218</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11556</v>
      </c>
    </row>
    <row r="3955" spans="1:2" x14ac:dyDescent="0.25">
      <c r="A3955" s="57">
        <v>30161604</v>
      </c>
      <c r="B3955" s="58" t="s">
        <v>15851</v>
      </c>
    </row>
    <row r="3956" spans="1:2" x14ac:dyDescent="0.25">
      <c r="A3956" s="57">
        <v>30161701</v>
      </c>
      <c r="B3956" s="58" t="s">
        <v>16165</v>
      </c>
    </row>
    <row r="3957" spans="1:2" x14ac:dyDescent="0.25">
      <c r="A3957" s="57">
        <v>30161702</v>
      </c>
      <c r="B3957" s="58" t="s">
        <v>12663</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10249</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12770</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4334</v>
      </c>
    </row>
    <row r="3983" spans="1:2" x14ac:dyDescent="0.25">
      <c r="A3983" s="57">
        <v>30161908</v>
      </c>
      <c r="B3983" s="58" t="s">
        <v>15545</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10288</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12413</v>
      </c>
    </row>
    <row r="4001" spans="1:2" x14ac:dyDescent="0.25">
      <c r="A4001" s="57">
        <v>30171607</v>
      </c>
      <c r="B4001" s="58" t="s">
        <v>14416</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18087</v>
      </c>
    </row>
    <row r="4006" spans="1:2" x14ac:dyDescent="0.25">
      <c r="A4006" s="57">
        <v>30171612</v>
      </c>
      <c r="B4006" s="58" t="s">
        <v>5307</v>
      </c>
    </row>
    <row r="4007" spans="1:2" x14ac:dyDescent="0.25">
      <c r="A4007" s="57">
        <v>30171613</v>
      </c>
      <c r="B4007" s="58" t="s">
        <v>6272</v>
      </c>
    </row>
    <row r="4008" spans="1:2" x14ac:dyDescent="0.25">
      <c r="A4008" s="57">
        <v>30171614</v>
      </c>
      <c r="B4008" s="58" t="s">
        <v>14949</v>
      </c>
    </row>
    <row r="4009" spans="1:2" x14ac:dyDescent="0.25">
      <c r="A4009" s="57">
        <v>30171615</v>
      </c>
      <c r="B4009" s="58" t="s">
        <v>14254</v>
      </c>
    </row>
    <row r="4010" spans="1:2" x14ac:dyDescent="0.25">
      <c r="A4010" s="57">
        <v>30171701</v>
      </c>
      <c r="B4010" s="58" t="s">
        <v>14276</v>
      </c>
    </row>
    <row r="4011" spans="1:2" x14ac:dyDescent="0.25">
      <c r="A4011" s="57">
        <v>30171703</v>
      </c>
      <c r="B4011" s="58" t="s">
        <v>12777</v>
      </c>
    </row>
    <row r="4012" spans="1:2" x14ac:dyDescent="0.25">
      <c r="A4012" s="57">
        <v>30171704</v>
      </c>
      <c r="B4012" s="58" t="s">
        <v>9443</v>
      </c>
    </row>
    <row r="4013" spans="1:2" x14ac:dyDescent="0.25">
      <c r="A4013" s="57">
        <v>30171705</v>
      </c>
      <c r="B4013" s="58" t="s">
        <v>15994</v>
      </c>
    </row>
    <row r="4014" spans="1:2" x14ac:dyDescent="0.25">
      <c r="A4014" s="57">
        <v>30171706</v>
      </c>
      <c r="B4014" s="58" t="s">
        <v>14361</v>
      </c>
    </row>
    <row r="4015" spans="1:2" x14ac:dyDescent="0.25">
      <c r="A4015" s="57">
        <v>30171707</v>
      </c>
      <c r="B4015" s="58" t="s">
        <v>11828</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9769</v>
      </c>
    </row>
    <row r="4020" spans="1:2" x14ac:dyDescent="0.25">
      <c r="A4020" s="57">
        <v>30171803</v>
      </c>
      <c r="B4020" s="58" t="s">
        <v>9181</v>
      </c>
    </row>
    <row r="4021" spans="1:2" x14ac:dyDescent="0.25">
      <c r="A4021" s="57">
        <v>30171901</v>
      </c>
      <c r="B4021" s="58" t="s">
        <v>6021</v>
      </c>
    </row>
    <row r="4022" spans="1:2" x14ac:dyDescent="0.25">
      <c r="A4022" s="57">
        <v>30171902</v>
      </c>
      <c r="B4022" s="58" t="s">
        <v>859</v>
      </c>
    </row>
    <row r="4023" spans="1:2" x14ac:dyDescent="0.25">
      <c r="A4023" s="57">
        <v>30171903</v>
      </c>
      <c r="B4023" s="58" t="s">
        <v>12958</v>
      </c>
    </row>
    <row r="4024" spans="1:2" x14ac:dyDescent="0.25">
      <c r="A4024" s="57">
        <v>30171904</v>
      </c>
      <c r="B4024" s="58" t="s">
        <v>1826</v>
      </c>
    </row>
    <row r="4025" spans="1:2" x14ac:dyDescent="0.25">
      <c r="A4025" s="57">
        <v>30171905</v>
      </c>
      <c r="B4025" s="58" t="s">
        <v>13239</v>
      </c>
    </row>
    <row r="4026" spans="1:2" x14ac:dyDescent="0.25">
      <c r="A4026" s="57">
        <v>30171906</v>
      </c>
      <c r="B4026" s="58" t="s">
        <v>10307</v>
      </c>
    </row>
    <row r="4027" spans="1:2" x14ac:dyDescent="0.25">
      <c r="A4027" s="57">
        <v>30172001</v>
      </c>
      <c r="B4027" s="58" t="s">
        <v>4928</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10577</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17560</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17589</v>
      </c>
    </row>
    <row r="4056" spans="1:2" x14ac:dyDescent="0.25">
      <c r="A4056" s="57">
        <v>30201605</v>
      </c>
      <c r="B4056" s="58" t="s">
        <v>7595</v>
      </c>
    </row>
    <row r="4057" spans="1:2" x14ac:dyDescent="0.25">
      <c r="A4057" s="57">
        <v>30201606</v>
      </c>
      <c r="B4057" s="58" t="s">
        <v>11097</v>
      </c>
    </row>
    <row r="4058" spans="1:2" x14ac:dyDescent="0.25">
      <c r="A4058" s="57">
        <v>30201701</v>
      </c>
      <c r="B4058" s="58" t="s">
        <v>13075</v>
      </c>
    </row>
    <row r="4059" spans="1:2" x14ac:dyDescent="0.25">
      <c r="A4059" s="57">
        <v>30201702</v>
      </c>
      <c r="B4059" s="58" t="s">
        <v>12851</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12071</v>
      </c>
    </row>
    <row r="4066" spans="1:2" x14ac:dyDescent="0.25">
      <c r="A4066" s="57">
        <v>30201710</v>
      </c>
      <c r="B4066" s="58" t="s">
        <v>12665</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9772</v>
      </c>
    </row>
    <row r="4078" spans="1:2" x14ac:dyDescent="0.25">
      <c r="A4078" s="57">
        <v>30221003</v>
      </c>
      <c r="B4078" s="58" t="s">
        <v>7106</v>
      </c>
    </row>
    <row r="4079" spans="1:2" x14ac:dyDescent="0.25">
      <c r="A4079" s="57">
        <v>30221004</v>
      </c>
      <c r="B4079" s="58" t="s">
        <v>14620</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10549</v>
      </c>
    </row>
    <row r="4094" spans="1:2" x14ac:dyDescent="0.25">
      <c r="A4094" s="57">
        <v>30222006</v>
      </c>
      <c r="B4094" s="58" t="s">
        <v>1743</v>
      </c>
    </row>
    <row r="4095" spans="1:2" x14ac:dyDescent="0.25">
      <c r="A4095" s="57">
        <v>30222007</v>
      </c>
      <c r="B4095" s="58" t="s">
        <v>10492</v>
      </c>
    </row>
    <row r="4096" spans="1:2" x14ac:dyDescent="0.25">
      <c r="A4096" s="57">
        <v>30222008</v>
      </c>
      <c r="B4096" s="58" t="s">
        <v>7614</v>
      </c>
    </row>
    <row r="4097" spans="1:2" x14ac:dyDescent="0.25">
      <c r="A4097" s="57">
        <v>30222009</v>
      </c>
      <c r="B4097" s="58" t="s">
        <v>9869</v>
      </c>
    </row>
    <row r="4098" spans="1:2" x14ac:dyDescent="0.25">
      <c r="A4098" s="57">
        <v>30222010</v>
      </c>
      <c r="B4098" s="58" t="s">
        <v>3469</v>
      </c>
    </row>
    <row r="4099" spans="1:2" x14ac:dyDescent="0.25">
      <c r="A4099" s="57">
        <v>30222011</v>
      </c>
      <c r="B4099" s="58" t="s">
        <v>5698</v>
      </c>
    </row>
    <row r="4100" spans="1:2" x14ac:dyDescent="0.25">
      <c r="A4100" s="57">
        <v>30222012</v>
      </c>
      <c r="B4100" s="58" t="s">
        <v>10507</v>
      </c>
    </row>
    <row r="4101" spans="1:2" x14ac:dyDescent="0.25">
      <c r="A4101" s="57">
        <v>30222013</v>
      </c>
      <c r="B4101" s="58" t="s">
        <v>12771</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12453</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11519</v>
      </c>
    </row>
    <row r="4124" spans="1:2" x14ac:dyDescent="0.25">
      <c r="A4124" s="57">
        <v>30222036</v>
      </c>
      <c r="B4124" s="58" t="s">
        <v>12667</v>
      </c>
    </row>
    <row r="4125" spans="1:2" x14ac:dyDescent="0.25">
      <c r="A4125" s="57">
        <v>30222037</v>
      </c>
      <c r="B4125" s="58" t="s">
        <v>17704</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14258</v>
      </c>
    </row>
    <row r="4131" spans="1:2" x14ac:dyDescent="0.25">
      <c r="A4131" s="57">
        <v>30222043</v>
      </c>
      <c r="B4131" s="58" t="s">
        <v>14266</v>
      </c>
    </row>
    <row r="4132" spans="1:2" x14ac:dyDescent="0.25">
      <c r="A4132" s="57">
        <v>30222044</v>
      </c>
      <c r="B4132" s="58" t="s">
        <v>9823</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11737</v>
      </c>
    </row>
    <row r="4141" spans="1:2" x14ac:dyDescent="0.25">
      <c r="A4141" s="57">
        <v>30222053</v>
      </c>
      <c r="B4141" s="58" t="s">
        <v>10673</v>
      </c>
    </row>
    <row r="4142" spans="1:2" x14ac:dyDescent="0.25">
      <c r="A4142" s="57">
        <v>30222054</v>
      </c>
      <c r="B4142" s="58" t="s">
        <v>10666</v>
      </c>
    </row>
    <row r="4143" spans="1:2" x14ac:dyDescent="0.25">
      <c r="A4143" s="57">
        <v>30222055</v>
      </c>
      <c r="B4143" s="58" t="s">
        <v>14044</v>
      </c>
    </row>
    <row r="4144" spans="1:2" x14ac:dyDescent="0.25">
      <c r="A4144" s="57">
        <v>30222056</v>
      </c>
      <c r="B4144" s="58" t="s">
        <v>14711</v>
      </c>
    </row>
    <row r="4145" spans="1:2" x14ac:dyDescent="0.25">
      <c r="A4145" s="57">
        <v>30222057</v>
      </c>
      <c r="B4145" s="58" t="s">
        <v>10168</v>
      </c>
    </row>
    <row r="4146" spans="1:2" x14ac:dyDescent="0.25">
      <c r="A4146" s="57">
        <v>30222058</v>
      </c>
      <c r="B4146" s="58" t="s">
        <v>12507</v>
      </c>
    </row>
    <row r="4147" spans="1:2" x14ac:dyDescent="0.25">
      <c r="A4147" s="57">
        <v>30222059</v>
      </c>
      <c r="B4147" s="58" t="s">
        <v>5071</v>
      </c>
    </row>
    <row r="4148" spans="1:2" x14ac:dyDescent="0.25">
      <c r="A4148" s="57">
        <v>30222060</v>
      </c>
      <c r="B4148" s="58" t="s">
        <v>15011</v>
      </c>
    </row>
    <row r="4149" spans="1:2" x14ac:dyDescent="0.25">
      <c r="A4149" s="57">
        <v>30222061</v>
      </c>
      <c r="B4149" s="58" t="s">
        <v>18670</v>
      </c>
    </row>
    <row r="4150" spans="1:2" x14ac:dyDescent="0.25">
      <c r="A4150" s="57">
        <v>30222063</v>
      </c>
      <c r="B4150" s="58" t="s">
        <v>5907</v>
      </c>
    </row>
    <row r="4151" spans="1:2" x14ac:dyDescent="0.25">
      <c r="A4151" s="57">
        <v>30222101</v>
      </c>
      <c r="B4151" s="58" t="s">
        <v>10627</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12860</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9874</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11739</v>
      </c>
    </row>
    <row r="4166" spans="1:2" x14ac:dyDescent="0.25">
      <c r="A4166" s="57">
        <v>30222116</v>
      </c>
      <c r="B4166" s="58" t="s">
        <v>5305</v>
      </c>
    </row>
    <row r="4167" spans="1:2" x14ac:dyDescent="0.25">
      <c r="A4167" s="57">
        <v>30222201</v>
      </c>
      <c r="B4167" s="58" t="s">
        <v>13114</v>
      </c>
    </row>
    <row r="4168" spans="1:2" x14ac:dyDescent="0.25">
      <c r="A4168" s="57">
        <v>30222202</v>
      </c>
      <c r="B4168" s="58" t="s">
        <v>18685</v>
      </c>
    </row>
    <row r="4169" spans="1:2" x14ac:dyDescent="0.25">
      <c r="A4169" s="57">
        <v>30222203</v>
      </c>
      <c r="B4169" s="58" t="s">
        <v>17351</v>
      </c>
    </row>
    <row r="4170" spans="1:2" x14ac:dyDescent="0.25">
      <c r="A4170" s="57">
        <v>30222204</v>
      </c>
      <c r="B4170" s="58" t="s">
        <v>11112</v>
      </c>
    </row>
    <row r="4171" spans="1:2" x14ac:dyDescent="0.25">
      <c r="A4171" s="57">
        <v>30222205</v>
      </c>
      <c r="B4171" s="58" t="s">
        <v>10839</v>
      </c>
    </row>
    <row r="4172" spans="1:2" x14ac:dyDescent="0.25">
      <c r="A4172" s="57">
        <v>30222206</v>
      </c>
      <c r="B4172" s="58" t="s">
        <v>14618</v>
      </c>
    </row>
    <row r="4173" spans="1:2" x14ac:dyDescent="0.25">
      <c r="A4173" s="57">
        <v>30222207</v>
      </c>
      <c r="B4173" s="58" t="s">
        <v>368</v>
      </c>
    </row>
    <row r="4174" spans="1:2" x14ac:dyDescent="0.25">
      <c r="A4174" s="57">
        <v>30222208</v>
      </c>
      <c r="B4174" s="58" t="s">
        <v>12289</v>
      </c>
    </row>
    <row r="4175" spans="1:2" x14ac:dyDescent="0.25">
      <c r="A4175" s="57">
        <v>30222301</v>
      </c>
      <c r="B4175" s="58" t="s">
        <v>98</v>
      </c>
    </row>
    <row r="4176" spans="1:2" x14ac:dyDescent="0.25">
      <c r="A4176" s="57">
        <v>30222302</v>
      </c>
      <c r="B4176" s="58" t="s">
        <v>9298</v>
      </c>
    </row>
    <row r="4177" spans="1:2" x14ac:dyDescent="0.25">
      <c r="A4177" s="57">
        <v>30222303</v>
      </c>
      <c r="B4177" s="58" t="s">
        <v>9811</v>
      </c>
    </row>
    <row r="4178" spans="1:2" x14ac:dyDescent="0.25">
      <c r="A4178" s="57">
        <v>30222304</v>
      </c>
      <c r="B4178" s="58" t="s">
        <v>11184</v>
      </c>
    </row>
    <row r="4179" spans="1:2" x14ac:dyDescent="0.25">
      <c r="A4179" s="57">
        <v>30222305</v>
      </c>
      <c r="B4179" s="58" t="s">
        <v>4361</v>
      </c>
    </row>
    <row r="4180" spans="1:2" x14ac:dyDescent="0.25">
      <c r="A4180" s="57">
        <v>30222306</v>
      </c>
      <c r="B4180" s="58" t="s">
        <v>12015</v>
      </c>
    </row>
    <row r="4181" spans="1:2" x14ac:dyDescent="0.25">
      <c r="A4181" s="57">
        <v>30222307</v>
      </c>
      <c r="B4181" s="58" t="s">
        <v>15839</v>
      </c>
    </row>
    <row r="4182" spans="1:2" x14ac:dyDescent="0.25">
      <c r="A4182" s="57">
        <v>30222308</v>
      </c>
      <c r="B4182" s="58" t="s">
        <v>2528</v>
      </c>
    </row>
    <row r="4183" spans="1:2" x14ac:dyDescent="0.25">
      <c r="A4183" s="57">
        <v>30222309</v>
      </c>
      <c r="B4183" s="58" t="s">
        <v>10032</v>
      </c>
    </row>
    <row r="4184" spans="1:2" x14ac:dyDescent="0.25">
      <c r="A4184" s="57">
        <v>30222401</v>
      </c>
      <c r="B4184" s="58" t="s">
        <v>7164</v>
      </c>
    </row>
    <row r="4185" spans="1:2" x14ac:dyDescent="0.25">
      <c r="A4185" s="57">
        <v>30222402</v>
      </c>
      <c r="B4185" s="58" t="s">
        <v>13244</v>
      </c>
    </row>
    <row r="4186" spans="1:2" x14ac:dyDescent="0.25">
      <c r="A4186" s="57">
        <v>30222403</v>
      </c>
      <c r="B4186" s="58" t="s">
        <v>13482</v>
      </c>
    </row>
    <row r="4187" spans="1:2" x14ac:dyDescent="0.25">
      <c r="A4187" s="57">
        <v>30222404</v>
      </c>
      <c r="B4187" s="58" t="s">
        <v>9918</v>
      </c>
    </row>
    <row r="4188" spans="1:2" x14ac:dyDescent="0.25">
      <c r="A4188" s="57">
        <v>30222405</v>
      </c>
      <c r="B4188" s="58" t="s">
        <v>1030</v>
      </c>
    </row>
    <row r="4189" spans="1:2" x14ac:dyDescent="0.25">
      <c r="A4189" s="57">
        <v>30222406</v>
      </c>
      <c r="B4189" s="58" t="s">
        <v>11357</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8965</v>
      </c>
    </row>
    <row r="4199" spans="1:2" x14ac:dyDescent="0.25">
      <c r="A4199" s="57">
        <v>30222507</v>
      </c>
      <c r="B4199" s="58" t="s">
        <v>8101</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8121</v>
      </c>
    </row>
    <row r="4204" spans="1:2" x14ac:dyDescent="0.25">
      <c r="A4204" s="57">
        <v>30222605</v>
      </c>
      <c r="B4204" s="58" t="s">
        <v>14253</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11339</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14934</v>
      </c>
    </row>
    <row r="4222" spans="1:2" x14ac:dyDescent="0.25">
      <c r="A4222" s="57">
        <v>31101502</v>
      </c>
      <c r="B4222" s="58" t="s">
        <v>13843</v>
      </c>
    </row>
    <row r="4223" spans="1:2" x14ac:dyDescent="0.25">
      <c r="A4223" s="57">
        <v>31101503</v>
      </c>
      <c r="B4223" s="58" t="s">
        <v>15736</v>
      </c>
    </row>
    <row r="4224" spans="1:2" x14ac:dyDescent="0.25">
      <c r="A4224" s="57">
        <v>31101504</v>
      </c>
      <c r="B4224" s="58" t="s">
        <v>6621</v>
      </c>
    </row>
    <row r="4225" spans="1:2" x14ac:dyDescent="0.25">
      <c r="A4225" s="57">
        <v>31101505</v>
      </c>
      <c r="B4225" s="58" t="s">
        <v>17758</v>
      </c>
    </row>
    <row r="4226" spans="1:2" x14ac:dyDescent="0.25">
      <c r="A4226" s="57">
        <v>31101506</v>
      </c>
      <c r="B4226" s="58" t="s">
        <v>11896</v>
      </c>
    </row>
    <row r="4227" spans="1:2" x14ac:dyDescent="0.25">
      <c r="A4227" s="57">
        <v>31101507</v>
      </c>
      <c r="B4227" s="58" t="s">
        <v>15110</v>
      </c>
    </row>
    <row r="4228" spans="1:2" x14ac:dyDescent="0.25">
      <c r="A4228" s="57">
        <v>31101508</v>
      </c>
      <c r="B4228" s="58" t="s">
        <v>10639</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15706</v>
      </c>
    </row>
    <row r="4233" spans="1:2" x14ac:dyDescent="0.25">
      <c r="A4233" s="57">
        <v>31101513</v>
      </c>
      <c r="B4233" s="58" t="s">
        <v>6072</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12787</v>
      </c>
    </row>
    <row r="4242" spans="1:2" x14ac:dyDescent="0.25">
      <c r="A4242" s="57">
        <v>31101606</v>
      </c>
      <c r="B4242" s="58" t="s">
        <v>5700</v>
      </c>
    </row>
    <row r="4243" spans="1:2" x14ac:dyDescent="0.25">
      <c r="A4243" s="57">
        <v>31101607</v>
      </c>
      <c r="B4243" s="58" t="s">
        <v>8971</v>
      </c>
    </row>
    <row r="4244" spans="1:2" x14ac:dyDescent="0.25">
      <c r="A4244" s="57">
        <v>31101608</v>
      </c>
      <c r="B4244" s="58" t="s">
        <v>11799</v>
      </c>
    </row>
    <row r="4245" spans="1:2" x14ac:dyDescent="0.25">
      <c r="A4245" s="57">
        <v>31101609</v>
      </c>
      <c r="B4245" s="58" t="s">
        <v>11534</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12325</v>
      </c>
    </row>
    <row r="4250" spans="1:2" x14ac:dyDescent="0.25">
      <c r="A4250" s="57">
        <v>31101614</v>
      </c>
      <c r="B4250" s="58" t="s">
        <v>18707</v>
      </c>
    </row>
    <row r="4251" spans="1:2" x14ac:dyDescent="0.25">
      <c r="A4251" s="57">
        <v>31101615</v>
      </c>
      <c r="B4251" s="58" t="s">
        <v>10360</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11228</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10034</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12779</v>
      </c>
    </row>
    <row r="4270" spans="1:2" x14ac:dyDescent="0.25">
      <c r="A4270" s="57">
        <v>31101802</v>
      </c>
      <c r="B4270" s="58" t="s">
        <v>6325</v>
      </c>
    </row>
    <row r="4271" spans="1:2" x14ac:dyDescent="0.25">
      <c r="A4271" s="57">
        <v>31101803</v>
      </c>
      <c r="B4271" s="58" t="s">
        <v>9922</v>
      </c>
    </row>
    <row r="4272" spans="1:2" x14ac:dyDescent="0.25">
      <c r="A4272" s="57">
        <v>31101804</v>
      </c>
      <c r="B4272" s="58" t="s">
        <v>11742</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13012</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13600</v>
      </c>
    </row>
    <row r="4284" spans="1:2" x14ac:dyDescent="0.25">
      <c r="A4284" s="57">
        <v>31101816</v>
      </c>
      <c r="B4284" s="58" t="s">
        <v>11344</v>
      </c>
    </row>
    <row r="4285" spans="1:2" x14ac:dyDescent="0.25">
      <c r="A4285" s="57">
        <v>31101901</v>
      </c>
      <c r="B4285" s="58" t="s">
        <v>344</v>
      </c>
    </row>
    <row r="4286" spans="1:2" x14ac:dyDescent="0.25">
      <c r="A4286" s="57">
        <v>31101902</v>
      </c>
      <c r="B4286" s="58" t="s">
        <v>3347</v>
      </c>
    </row>
    <row r="4287" spans="1:2" x14ac:dyDescent="0.25">
      <c r="A4287" s="57">
        <v>31101903</v>
      </c>
      <c r="B4287" s="58" t="s">
        <v>10021</v>
      </c>
    </row>
    <row r="4288" spans="1:2" x14ac:dyDescent="0.25">
      <c r="A4288" s="57">
        <v>31101904</v>
      </c>
      <c r="B4288" s="58" t="s">
        <v>13303</v>
      </c>
    </row>
    <row r="4289" spans="1:2" x14ac:dyDescent="0.25">
      <c r="A4289" s="57">
        <v>31101905</v>
      </c>
      <c r="B4289" s="58" t="s">
        <v>959</v>
      </c>
    </row>
    <row r="4290" spans="1:2" x14ac:dyDescent="0.25">
      <c r="A4290" s="57">
        <v>31101906</v>
      </c>
      <c r="B4290" s="58" t="s">
        <v>8689</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13264</v>
      </c>
    </row>
    <row r="4295" spans="1:2" x14ac:dyDescent="0.25">
      <c r="A4295" s="57">
        <v>31101911</v>
      </c>
      <c r="B4295" s="58" t="s">
        <v>10410</v>
      </c>
    </row>
    <row r="4296" spans="1:2" x14ac:dyDescent="0.25">
      <c r="A4296" s="57">
        <v>31101912</v>
      </c>
      <c r="B4296" s="58" t="s">
        <v>11088</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9650</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13164</v>
      </c>
    </row>
    <row r="4306" spans="1:2" x14ac:dyDescent="0.25">
      <c r="A4306" s="57">
        <v>31102010</v>
      </c>
      <c r="B4306" s="58" t="s">
        <v>1601</v>
      </c>
    </row>
    <row r="4307" spans="1:2" x14ac:dyDescent="0.25">
      <c r="A4307" s="57">
        <v>31102011</v>
      </c>
      <c r="B4307" s="58" t="s">
        <v>14528</v>
      </c>
    </row>
    <row r="4308" spans="1:2" x14ac:dyDescent="0.25">
      <c r="A4308" s="57">
        <v>31102012</v>
      </c>
      <c r="B4308" s="58" t="s">
        <v>13059</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5823</v>
      </c>
    </row>
    <row r="4318" spans="1:2" x14ac:dyDescent="0.25">
      <c r="A4318" s="57">
        <v>31102106</v>
      </c>
      <c r="B4318" s="58" t="s">
        <v>23</v>
      </c>
    </row>
    <row r="4319" spans="1:2" x14ac:dyDescent="0.25">
      <c r="A4319" s="57">
        <v>31102107</v>
      </c>
      <c r="B4319" s="58" t="s">
        <v>7669</v>
      </c>
    </row>
    <row r="4320" spans="1:2" x14ac:dyDescent="0.25">
      <c r="A4320" s="57">
        <v>31102108</v>
      </c>
      <c r="B4320" s="58" t="s">
        <v>14128</v>
      </c>
    </row>
    <row r="4321" spans="1:2" x14ac:dyDescent="0.25">
      <c r="A4321" s="57">
        <v>31102109</v>
      </c>
      <c r="B4321" s="58" t="s">
        <v>432</v>
      </c>
    </row>
    <row r="4322" spans="1:2" x14ac:dyDescent="0.25">
      <c r="A4322" s="57">
        <v>31102110</v>
      </c>
      <c r="B4322" s="58" t="s">
        <v>17135</v>
      </c>
    </row>
    <row r="4323" spans="1:2" x14ac:dyDescent="0.25">
      <c r="A4323" s="57">
        <v>31102111</v>
      </c>
      <c r="B4323" s="58" t="s">
        <v>11942</v>
      </c>
    </row>
    <row r="4324" spans="1:2" x14ac:dyDescent="0.25">
      <c r="A4324" s="57">
        <v>31102112</v>
      </c>
      <c r="B4324" s="58" t="s">
        <v>8543</v>
      </c>
    </row>
    <row r="4325" spans="1:2" x14ac:dyDescent="0.25">
      <c r="A4325" s="57">
        <v>31102113</v>
      </c>
      <c r="B4325" s="58" t="s">
        <v>17804</v>
      </c>
    </row>
    <row r="4326" spans="1:2" x14ac:dyDescent="0.25">
      <c r="A4326" s="57">
        <v>31102114</v>
      </c>
      <c r="B4326" s="58" t="s">
        <v>12149</v>
      </c>
    </row>
    <row r="4327" spans="1:2" x14ac:dyDescent="0.25">
      <c r="A4327" s="57">
        <v>31102115</v>
      </c>
      <c r="B4327" s="58" t="s">
        <v>9764</v>
      </c>
    </row>
    <row r="4328" spans="1:2" x14ac:dyDescent="0.25">
      <c r="A4328" s="57">
        <v>31102116</v>
      </c>
      <c r="B4328" s="58" t="s">
        <v>15336</v>
      </c>
    </row>
    <row r="4329" spans="1:2" x14ac:dyDescent="0.25">
      <c r="A4329" s="57">
        <v>31102201</v>
      </c>
      <c r="B4329" s="58" t="s">
        <v>12183</v>
      </c>
    </row>
    <row r="4330" spans="1:2" x14ac:dyDescent="0.25">
      <c r="A4330" s="57">
        <v>31102202</v>
      </c>
      <c r="B4330" s="58" t="s">
        <v>12107</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9539</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6568</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9696</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14204</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14083</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11943</v>
      </c>
    </row>
    <row r="4371" spans="1:2" x14ac:dyDescent="0.25">
      <c r="A4371" s="57">
        <v>31102411</v>
      </c>
      <c r="B4371" s="58" t="s">
        <v>6622</v>
      </c>
    </row>
    <row r="4372" spans="1:2" x14ac:dyDescent="0.25">
      <c r="A4372" s="57">
        <v>31102412</v>
      </c>
      <c r="B4372" s="58" t="s">
        <v>10772</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10672</v>
      </c>
    </row>
    <row r="4377" spans="1:2" x14ac:dyDescent="0.25">
      <c r="A4377" s="57">
        <v>31111501</v>
      </c>
      <c r="B4377" s="58" t="s">
        <v>12672</v>
      </c>
    </row>
    <row r="4378" spans="1:2" x14ac:dyDescent="0.25">
      <c r="A4378" s="57">
        <v>31111502</v>
      </c>
      <c r="B4378" s="58" t="s">
        <v>13117</v>
      </c>
    </row>
    <row r="4379" spans="1:2" x14ac:dyDescent="0.25">
      <c r="A4379" s="57">
        <v>31111503</v>
      </c>
      <c r="B4379" s="58" t="s">
        <v>17926</v>
      </c>
    </row>
    <row r="4380" spans="1:2" x14ac:dyDescent="0.25">
      <c r="A4380" s="57">
        <v>31111504</v>
      </c>
      <c r="B4380" s="58" t="s">
        <v>16680</v>
      </c>
    </row>
    <row r="4381" spans="1:2" x14ac:dyDescent="0.25">
      <c r="A4381" s="57">
        <v>31111505</v>
      </c>
      <c r="B4381" s="58" t="s">
        <v>11994</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7875</v>
      </c>
    </row>
    <row r="4394" spans="1:2" x14ac:dyDescent="0.25">
      <c r="A4394" s="57">
        <v>31111601</v>
      </c>
      <c r="B4394" s="58" t="s">
        <v>15960</v>
      </c>
    </row>
    <row r="4395" spans="1:2" x14ac:dyDescent="0.25">
      <c r="A4395" s="57">
        <v>31111602</v>
      </c>
      <c r="B4395" s="58" t="s">
        <v>6261</v>
      </c>
    </row>
    <row r="4396" spans="1:2" x14ac:dyDescent="0.25">
      <c r="A4396" s="57">
        <v>31111603</v>
      </c>
      <c r="B4396" s="58" t="s">
        <v>12882</v>
      </c>
    </row>
    <row r="4397" spans="1:2" x14ac:dyDescent="0.25">
      <c r="A4397" s="57">
        <v>31111604</v>
      </c>
      <c r="B4397" s="58" t="s">
        <v>3544</v>
      </c>
    </row>
    <row r="4398" spans="1:2" x14ac:dyDescent="0.25">
      <c r="A4398" s="57">
        <v>31111605</v>
      </c>
      <c r="B4398" s="58" t="s">
        <v>10649</v>
      </c>
    </row>
    <row r="4399" spans="1:2" x14ac:dyDescent="0.25">
      <c r="A4399" s="57">
        <v>31111606</v>
      </c>
      <c r="B4399" s="58" t="s">
        <v>17681</v>
      </c>
    </row>
    <row r="4400" spans="1:2" x14ac:dyDescent="0.25">
      <c r="A4400" s="57">
        <v>31111607</v>
      </c>
      <c r="B4400" s="58" t="s">
        <v>10579</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13072</v>
      </c>
    </row>
    <row r="4405" spans="1:2" x14ac:dyDescent="0.25">
      <c r="A4405" s="57">
        <v>31111612</v>
      </c>
      <c r="B4405" s="58" t="s">
        <v>11424</v>
      </c>
    </row>
    <row r="4406" spans="1:2" x14ac:dyDescent="0.25">
      <c r="A4406" s="57">
        <v>31111613</v>
      </c>
      <c r="B4406" s="58" t="s">
        <v>10299</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13229</v>
      </c>
    </row>
    <row r="4411" spans="1:2" x14ac:dyDescent="0.25">
      <c r="A4411" s="57">
        <v>31111701</v>
      </c>
      <c r="B4411" s="58" t="s">
        <v>15023</v>
      </c>
    </row>
    <row r="4412" spans="1:2" x14ac:dyDescent="0.25">
      <c r="A4412" s="57">
        <v>31111702</v>
      </c>
      <c r="B4412" s="58" t="s">
        <v>4802</v>
      </c>
    </row>
    <row r="4413" spans="1:2" x14ac:dyDescent="0.25">
      <c r="A4413" s="57">
        <v>31111703</v>
      </c>
      <c r="B4413" s="58" t="s">
        <v>11012</v>
      </c>
    </row>
    <row r="4414" spans="1:2" x14ac:dyDescent="0.25">
      <c r="A4414" s="57">
        <v>31111704</v>
      </c>
      <c r="B4414" s="58" t="s">
        <v>1354</v>
      </c>
    </row>
    <row r="4415" spans="1:2" x14ac:dyDescent="0.25">
      <c r="A4415" s="57">
        <v>31111705</v>
      </c>
      <c r="B4415" s="58" t="s">
        <v>13553</v>
      </c>
    </row>
    <row r="4416" spans="1:2" x14ac:dyDescent="0.25">
      <c r="A4416" s="57">
        <v>31111706</v>
      </c>
      <c r="B4416" s="58" t="s">
        <v>12319</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17270</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12020</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11655</v>
      </c>
    </row>
    <row r="4436" spans="1:2" x14ac:dyDescent="0.25">
      <c r="A4436" s="57">
        <v>31121009</v>
      </c>
      <c r="B4436" s="58" t="s">
        <v>16696</v>
      </c>
    </row>
    <row r="4437" spans="1:2" x14ac:dyDescent="0.25">
      <c r="A4437" s="57">
        <v>31121010</v>
      </c>
      <c r="B4437" s="58" t="s">
        <v>7987</v>
      </c>
    </row>
    <row r="4438" spans="1:2" x14ac:dyDescent="0.25">
      <c r="A4438" s="57">
        <v>31121011</v>
      </c>
      <c r="B4438" s="58" t="s">
        <v>13785</v>
      </c>
    </row>
    <row r="4439" spans="1:2" x14ac:dyDescent="0.25">
      <c r="A4439" s="57">
        <v>31121012</v>
      </c>
      <c r="B4439" s="58" t="s">
        <v>15504</v>
      </c>
    </row>
    <row r="4440" spans="1:2" x14ac:dyDescent="0.25">
      <c r="A4440" s="57">
        <v>31121013</v>
      </c>
      <c r="B4440" s="58" t="s">
        <v>7662</v>
      </c>
    </row>
    <row r="4441" spans="1:2" x14ac:dyDescent="0.25">
      <c r="A4441" s="57">
        <v>31121014</v>
      </c>
      <c r="B4441" s="58" t="s">
        <v>12522</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12347</v>
      </c>
    </row>
    <row r="4447" spans="1:2" x14ac:dyDescent="0.25">
      <c r="A4447" s="57">
        <v>31121101</v>
      </c>
      <c r="B4447" s="58" t="s">
        <v>17588</v>
      </c>
    </row>
    <row r="4448" spans="1:2" x14ac:dyDescent="0.25">
      <c r="A4448" s="57">
        <v>31121102</v>
      </c>
      <c r="B4448" s="58" t="s">
        <v>9372</v>
      </c>
    </row>
    <row r="4449" spans="1:2" x14ac:dyDescent="0.25">
      <c r="A4449" s="57">
        <v>31121103</v>
      </c>
      <c r="B4449" s="58" t="s">
        <v>17163</v>
      </c>
    </row>
    <row r="4450" spans="1:2" x14ac:dyDescent="0.25">
      <c r="A4450" s="57">
        <v>31121104</v>
      </c>
      <c r="B4450" s="58" t="s">
        <v>9873</v>
      </c>
    </row>
    <row r="4451" spans="1:2" x14ac:dyDescent="0.25">
      <c r="A4451" s="57">
        <v>31121105</v>
      </c>
      <c r="B4451" s="58" t="s">
        <v>7115</v>
      </c>
    </row>
    <row r="4452" spans="1:2" x14ac:dyDescent="0.25">
      <c r="A4452" s="57">
        <v>31121106</v>
      </c>
      <c r="B4452" s="58" t="s">
        <v>8059</v>
      </c>
    </row>
    <row r="4453" spans="1:2" x14ac:dyDescent="0.25">
      <c r="A4453" s="57">
        <v>31121107</v>
      </c>
      <c r="B4453" s="58" t="s">
        <v>11320</v>
      </c>
    </row>
    <row r="4454" spans="1:2" x14ac:dyDescent="0.25">
      <c r="A4454" s="57">
        <v>31121108</v>
      </c>
      <c r="B4454" s="58" t="s">
        <v>12873</v>
      </c>
    </row>
    <row r="4455" spans="1:2" x14ac:dyDescent="0.25">
      <c r="A4455" s="57">
        <v>31121109</v>
      </c>
      <c r="B4455" s="58" t="s">
        <v>2083</v>
      </c>
    </row>
    <row r="4456" spans="1:2" x14ac:dyDescent="0.25">
      <c r="A4456" s="57">
        <v>31121110</v>
      </c>
      <c r="B4456" s="58" t="s">
        <v>13294</v>
      </c>
    </row>
    <row r="4457" spans="1:2" x14ac:dyDescent="0.25">
      <c r="A4457" s="57">
        <v>31121111</v>
      </c>
      <c r="B4457" s="58" t="s">
        <v>7847</v>
      </c>
    </row>
    <row r="4458" spans="1:2" x14ac:dyDescent="0.25">
      <c r="A4458" s="57">
        <v>31121112</v>
      </c>
      <c r="B4458" s="58" t="s">
        <v>14563</v>
      </c>
    </row>
    <row r="4459" spans="1:2" x14ac:dyDescent="0.25">
      <c r="A4459" s="57">
        <v>31121113</v>
      </c>
      <c r="B4459" s="58" t="s">
        <v>17356</v>
      </c>
    </row>
    <row r="4460" spans="1:2" x14ac:dyDescent="0.25">
      <c r="A4460" s="57">
        <v>31121114</v>
      </c>
      <c r="B4460" s="58" t="s">
        <v>15470</v>
      </c>
    </row>
    <row r="4461" spans="1:2" x14ac:dyDescent="0.25">
      <c r="A4461" s="57">
        <v>31121115</v>
      </c>
      <c r="B4461" s="58" t="s">
        <v>8482</v>
      </c>
    </row>
    <row r="4462" spans="1:2" x14ac:dyDescent="0.25">
      <c r="A4462" s="57">
        <v>31121116</v>
      </c>
      <c r="B4462" s="58" t="s">
        <v>10906</v>
      </c>
    </row>
    <row r="4463" spans="1:2" x14ac:dyDescent="0.25">
      <c r="A4463" s="57">
        <v>31121117</v>
      </c>
      <c r="B4463" s="58" t="s">
        <v>4900</v>
      </c>
    </row>
    <row r="4464" spans="1:2" x14ac:dyDescent="0.25">
      <c r="A4464" s="57">
        <v>31121118</v>
      </c>
      <c r="B4464" s="58" t="s">
        <v>10737</v>
      </c>
    </row>
    <row r="4465" spans="1:2" x14ac:dyDescent="0.25">
      <c r="A4465" s="57">
        <v>31121119</v>
      </c>
      <c r="B4465" s="58" t="s">
        <v>17226</v>
      </c>
    </row>
    <row r="4466" spans="1:2" x14ac:dyDescent="0.25">
      <c r="A4466" s="57">
        <v>31121201</v>
      </c>
      <c r="B4466" s="58" t="s">
        <v>13898</v>
      </c>
    </row>
    <row r="4467" spans="1:2" x14ac:dyDescent="0.25">
      <c r="A4467" s="57">
        <v>31121202</v>
      </c>
      <c r="B4467" s="58" t="s">
        <v>12144</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14710</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11533</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11405</v>
      </c>
    </row>
    <row r="4491" spans="1:2" x14ac:dyDescent="0.25">
      <c r="A4491" s="57">
        <v>31121307</v>
      </c>
      <c r="B4491" s="58" t="s">
        <v>8950</v>
      </c>
    </row>
    <row r="4492" spans="1:2" x14ac:dyDescent="0.25">
      <c r="A4492" s="57">
        <v>31121308</v>
      </c>
      <c r="B4492" s="58" t="s">
        <v>9415</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13123</v>
      </c>
    </row>
    <row r="4498" spans="1:2" x14ac:dyDescent="0.25">
      <c r="A4498" s="57">
        <v>31121314</v>
      </c>
      <c r="B4498" s="58" t="s">
        <v>3344</v>
      </c>
    </row>
    <row r="4499" spans="1:2" x14ac:dyDescent="0.25">
      <c r="A4499" s="57">
        <v>31121315</v>
      </c>
      <c r="B4499" s="58" t="s">
        <v>17099</v>
      </c>
    </row>
    <row r="4500" spans="1:2" x14ac:dyDescent="0.25">
      <c r="A4500" s="57">
        <v>31121316</v>
      </c>
      <c r="B4500" s="58" t="s">
        <v>10681</v>
      </c>
    </row>
    <row r="4501" spans="1:2" x14ac:dyDescent="0.25">
      <c r="A4501" s="57">
        <v>31121317</v>
      </c>
      <c r="B4501" s="58" t="s">
        <v>4827</v>
      </c>
    </row>
    <row r="4502" spans="1:2" x14ac:dyDescent="0.25">
      <c r="A4502" s="57">
        <v>31121318</v>
      </c>
      <c r="B4502" s="58" t="s">
        <v>13141</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9788</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10574</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11487</v>
      </c>
    </row>
    <row r="4534" spans="1:2" x14ac:dyDescent="0.25">
      <c r="A4534" s="57">
        <v>31121512</v>
      </c>
      <c r="B4534" s="58" t="s">
        <v>13561</v>
      </c>
    </row>
    <row r="4535" spans="1:2" x14ac:dyDescent="0.25">
      <c r="A4535" s="57">
        <v>31121513</v>
      </c>
      <c r="B4535" s="58" t="s">
        <v>4427</v>
      </c>
    </row>
    <row r="4536" spans="1:2" x14ac:dyDescent="0.25">
      <c r="A4536" s="57">
        <v>31121514</v>
      </c>
      <c r="B4536" s="58" t="s">
        <v>17237</v>
      </c>
    </row>
    <row r="4537" spans="1:2" x14ac:dyDescent="0.25">
      <c r="A4537" s="57">
        <v>31121515</v>
      </c>
      <c r="B4537" s="58" t="s">
        <v>14192</v>
      </c>
    </row>
    <row r="4538" spans="1:2" x14ac:dyDescent="0.25">
      <c r="A4538" s="57">
        <v>31121516</v>
      </c>
      <c r="B4538" s="58" t="s">
        <v>10823</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10722</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13098</v>
      </c>
    </row>
    <row r="4547" spans="1:2" x14ac:dyDescent="0.25">
      <c r="A4547" s="57">
        <v>31121606</v>
      </c>
      <c r="B4547" s="58" t="s">
        <v>2030</v>
      </c>
    </row>
    <row r="4548" spans="1:2" x14ac:dyDescent="0.25">
      <c r="A4548" s="57">
        <v>31121607</v>
      </c>
      <c r="B4548" s="58" t="s">
        <v>6082</v>
      </c>
    </row>
    <row r="4549" spans="1:2" x14ac:dyDescent="0.25">
      <c r="A4549" s="57">
        <v>31121608</v>
      </c>
      <c r="B4549" s="58" t="s">
        <v>9684</v>
      </c>
    </row>
    <row r="4550" spans="1:2" x14ac:dyDescent="0.25">
      <c r="A4550" s="57">
        <v>31121609</v>
      </c>
      <c r="B4550" s="58" t="s">
        <v>3799</v>
      </c>
    </row>
    <row r="4551" spans="1:2" x14ac:dyDescent="0.25">
      <c r="A4551" s="57">
        <v>31121610</v>
      </c>
      <c r="B4551" s="58" t="s">
        <v>14953</v>
      </c>
    </row>
    <row r="4552" spans="1:2" x14ac:dyDescent="0.25">
      <c r="A4552" s="57">
        <v>31121611</v>
      </c>
      <c r="B4552" s="58" t="s">
        <v>13070</v>
      </c>
    </row>
    <row r="4553" spans="1:2" x14ac:dyDescent="0.25">
      <c r="A4553" s="57">
        <v>31121612</v>
      </c>
      <c r="B4553" s="58" t="s">
        <v>9927</v>
      </c>
    </row>
    <row r="4554" spans="1:2" x14ac:dyDescent="0.25">
      <c r="A4554" s="57">
        <v>31121613</v>
      </c>
      <c r="B4554" s="58" t="s">
        <v>9910</v>
      </c>
    </row>
    <row r="4555" spans="1:2" x14ac:dyDescent="0.25">
      <c r="A4555" s="57">
        <v>31121614</v>
      </c>
      <c r="B4555" s="58" t="s">
        <v>743</v>
      </c>
    </row>
    <row r="4556" spans="1:2" x14ac:dyDescent="0.25">
      <c r="A4556" s="57">
        <v>31121615</v>
      </c>
      <c r="B4556" s="58" t="s">
        <v>10655</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13124</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12920</v>
      </c>
    </row>
    <row r="4568" spans="1:2" x14ac:dyDescent="0.25">
      <c r="A4568" s="57">
        <v>31121712</v>
      </c>
      <c r="B4568" s="58" t="s">
        <v>11417</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9681</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10066</v>
      </c>
    </row>
    <row r="4579" spans="1:2" x14ac:dyDescent="0.25">
      <c r="A4579" s="57">
        <v>31121804</v>
      </c>
      <c r="B4579" s="58" t="s">
        <v>12986</v>
      </c>
    </row>
    <row r="4580" spans="1:2" x14ac:dyDescent="0.25">
      <c r="A4580" s="57">
        <v>31121805</v>
      </c>
      <c r="B4580" s="58" t="s">
        <v>10651</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10684</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11252</v>
      </c>
    </row>
    <row r="4600" spans="1:2" x14ac:dyDescent="0.25">
      <c r="A4600" s="57">
        <v>31121906</v>
      </c>
      <c r="B4600" s="58" t="s">
        <v>11147</v>
      </c>
    </row>
    <row r="4601" spans="1:2" x14ac:dyDescent="0.25">
      <c r="A4601" s="57">
        <v>31121907</v>
      </c>
      <c r="B4601" s="58" t="s">
        <v>11027</v>
      </c>
    </row>
    <row r="4602" spans="1:2" x14ac:dyDescent="0.25">
      <c r="A4602" s="57">
        <v>31121908</v>
      </c>
      <c r="B4602" s="58" t="s">
        <v>4861</v>
      </c>
    </row>
    <row r="4603" spans="1:2" x14ac:dyDescent="0.25">
      <c r="A4603" s="57">
        <v>31121909</v>
      </c>
      <c r="B4603" s="58" t="s">
        <v>15781</v>
      </c>
    </row>
    <row r="4604" spans="1:2" x14ac:dyDescent="0.25">
      <c r="A4604" s="57">
        <v>31121910</v>
      </c>
      <c r="B4604" s="58" t="s">
        <v>17886</v>
      </c>
    </row>
    <row r="4605" spans="1:2" x14ac:dyDescent="0.25">
      <c r="A4605" s="57">
        <v>31121911</v>
      </c>
      <c r="B4605" s="58" t="s">
        <v>12921</v>
      </c>
    </row>
    <row r="4606" spans="1:2" x14ac:dyDescent="0.25">
      <c r="A4606" s="57">
        <v>31121912</v>
      </c>
      <c r="B4606" s="58" t="s">
        <v>13282</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10026</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12121</v>
      </c>
    </row>
    <row r="4617" spans="1:2" x14ac:dyDescent="0.25">
      <c r="A4617" s="57">
        <v>31131504</v>
      </c>
      <c r="B4617" s="58" t="s">
        <v>6172</v>
      </c>
    </row>
    <row r="4618" spans="1:2" x14ac:dyDescent="0.25">
      <c r="A4618" s="57">
        <v>31131505</v>
      </c>
      <c r="B4618" s="58" t="s">
        <v>14832</v>
      </c>
    </row>
    <row r="4619" spans="1:2" x14ac:dyDescent="0.25">
      <c r="A4619" s="57">
        <v>31131506</v>
      </c>
      <c r="B4619" s="58" t="s">
        <v>14197</v>
      </c>
    </row>
    <row r="4620" spans="1:2" x14ac:dyDescent="0.25">
      <c r="A4620" s="57">
        <v>31131507</v>
      </c>
      <c r="B4620" s="58" t="s">
        <v>12908</v>
      </c>
    </row>
    <row r="4621" spans="1:2" x14ac:dyDescent="0.25">
      <c r="A4621" s="57">
        <v>31131508</v>
      </c>
      <c r="B4621" s="58" t="s">
        <v>2953</v>
      </c>
    </row>
    <row r="4622" spans="1:2" x14ac:dyDescent="0.25">
      <c r="A4622" s="57">
        <v>31131509</v>
      </c>
      <c r="B4622" s="58" t="s">
        <v>6413</v>
      </c>
    </row>
    <row r="4623" spans="1:2" x14ac:dyDescent="0.25">
      <c r="A4623" s="57">
        <v>31131510</v>
      </c>
      <c r="B4623" s="58" t="s">
        <v>11305</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10756</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11988</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13311</v>
      </c>
    </row>
    <row r="4639" spans="1:2" x14ac:dyDescent="0.25">
      <c r="A4639" s="57">
        <v>31131610</v>
      </c>
      <c r="B4639" s="58" t="s">
        <v>5171</v>
      </c>
    </row>
    <row r="4640" spans="1:2" x14ac:dyDescent="0.25">
      <c r="A4640" s="57">
        <v>31131611</v>
      </c>
      <c r="B4640" s="58" t="s">
        <v>11846</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10794</v>
      </c>
    </row>
    <row r="4652" spans="1:2" x14ac:dyDescent="0.25">
      <c r="A4652" s="57">
        <v>31131707</v>
      </c>
      <c r="B4652" s="58" t="s">
        <v>5670</v>
      </c>
    </row>
    <row r="4653" spans="1:2" x14ac:dyDescent="0.25">
      <c r="A4653" s="57">
        <v>31131708</v>
      </c>
      <c r="B4653" s="58" t="s">
        <v>17458</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14465</v>
      </c>
    </row>
    <row r="4660" spans="1:2" x14ac:dyDescent="0.25">
      <c r="A4660" s="57">
        <v>31131715</v>
      </c>
      <c r="B4660" s="58" t="s">
        <v>1510</v>
      </c>
    </row>
    <row r="4661" spans="1:2" x14ac:dyDescent="0.25">
      <c r="A4661" s="57">
        <v>31131716</v>
      </c>
      <c r="B4661" s="58" t="s">
        <v>11162</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11046</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12445</v>
      </c>
    </row>
    <row r="4673" spans="1:2" x14ac:dyDescent="0.25">
      <c r="A4673" s="57">
        <v>31131812</v>
      </c>
      <c r="B4673" s="58" t="s">
        <v>8207</v>
      </c>
    </row>
    <row r="4674" spans="1:2" x14ac:dyDescent="0.25">
      <c r="A4674" s="57">
        <v>31131813</v>
      </c>
      <c r="B4674" s="58" t="s">
        <v>13032</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12740</v>
      </c>
    </row>
    <row r="4684" spans="1:2" x14ac:dyDescent="0.25">
      <c r="A4684" s="57">
        <v>31131905</v>
      </c>
      <c r="B4684" s="58" t="s">
        <v>10124</v>
      </c>
    </row>
    <row r="4685" spans="1:2" x14ac:dyDescent="0.25">
      <c r="A4685" s="57">
        <v>31131906</v>
      </c>
      <c r="B4685" s="58" t="s">
        <v>17417</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9659</v>
      </c>
    </row>
    <row r="4691" spans="1:2" x14ac:dyDescent="0.25">
      <c r="A4691" s="57">
        <v>31131912</v>
      </c>
      <c r="B4691" s="58" t="s">
        <v>14946</v>
      </c>
    </row>
    <row r="4692" spans="1:2" x14ac:dyDescent="0.25">
      <c r="A4692" s="57">
        <v>31131913</v>
      </c>
      <c r="B4692" s="58" t="s">
        <v>11789</v>
      </c>
    </row>
    <row r="4693" spans="1:2" x14ac:dyDescent="0.25">
      <c r="A4693" s="57">
        <v>31131914</v>
      </c>
      <c r="B4693" s="58" t="s">
        <v>13041</v>
      </c>
    </row>
    <row r="4694" spans="1:2" x14ac:dyDescent="0.25">
      <c r="A4694" s="57">
        <v>31131915</v>
      </c>
      <c r="B4694" s="58" t="s">
        <v>10335</v>
      </c>
    </row>
    <row r="4695" spans="1:2" x14ac:dyDescent="0.25">
      <c r="A4695" s="57">
        <v>31131916</v>
      </c>
      <c r="B4695" s="58" t="s">
        <v>11148</v>
      </c>
    </row>
    <row r="4696" spans="1:2" x14ac:dyDescent="0.25">
      <c r="A4696" s="57">
        <v>31132001</v>
      </c>
      <c r="B4696" s="58" t="s">
        <v>15038</v>
      </c>
    </row>
    <row r="4697" spans="1:2" x14ac:dyDescent="0.25">
      <c r="A4697" s="57">
        <v>31132002</v>
      </c>
      <c r="B4697" s="58" t="s">
        <v>12315</v>
      </c>
    </row>
    <row r="4698" spans="1:2" x14ac:dyDescent="0.25">
      <c r="A4698" s="57">
        <v>31141501</v>
      </c>
      <c r="B4698" s="58" t="s">
        <v>13731</v>
      </c>
    </row>
    <row r="4699" spans="1:2" x14ac:dyDescent="0.25">
      <c r="A4699" s="57">
        <v>31141502</v>
      </c>
      <c r="B4699" s="58" t="s">
        <v>18760</v>
      </c>
    </row>
    <row r="4700" spans="1:2" x14ac:dyDescent="0.25">
      <c r="A4700" s="57">
        <v>31141503</v>
      </c>
      <c r="B4700" s="58" t="s">
        <v>11512</v>
      </c>
    </row>
    <row r="4701" spans="1:2" x14ac:dyDescent="0.25">
      <c r="A4701" s="57">
        <v>31141601</v>
      </c>
      <c r="B4701" s="58" t="s">
        <v>1798</v>
      </c>
    </row>
    <row r="4702" spans="1:2" x14ac:dyDescent="0.25">
      <c r="A4702" s="57">
        <v>31141602</v>
      </c>
      <c r="B4702" s="58" t="s">
        <v>11210</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11884</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6211</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10921</v>
      </c>
    </row>
    <row r="4716" spans="1:2" x14ac:dyDescent="0.25">
      <c r="A4716" s="57">
        <v>31151509</v>
      </c>
      <c r="B4716" s="58" t="s">
        <v>18708</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11551</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12551</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10935</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11542</v>
      </c>
    </row>
    <row r="4751" spans="1:2" x14ac:dyDescent="0.25">
      <c r="A4751" s="57">
        <v>31161512</v>
      </c>
      <c r="B4751" s="58" t="s">
        <v>11999</v>
      </c>
    </row>
    <row r="4752" spans="1:2" x14ac:dyDescent="0.25">
      <c r="A4752" s="57">
        <v>31161513</v>
      </c>
      <c r="B4752" s="58" t="s">
        <v>3322</v>
      </c>
    </row>
    <row r="4753" spans="1:2" x14ac:dyDescent="0.25">
      <c r="A4753" s="57">
        <v>31161514</v>
      </c>
      <c r="B4753" s="58" t="s">
        <v>13044</v>
      </c>
    </row>
    <row r="4754" spans="1:2" x14ac:dyDescent="0.25">
      <c r="A4754" s="57">
        <v>31161516</v>
      </c>
      <c r="B4754" s="58" t="s">
        <v>7705</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14243</v>
      </c>
    </row>
    <row r="4761" spans="1:2" x14ac:dyDescent="0.25">
      <c r="A4761" s="57">
        <v>31161605</v>
      </c>
      <c r="B4761" s="58" t="s">
        <v>11006</v>
      </c>
    </row>
    <row r="4762" spans="1:2" x14ac:dyDescent="0.25">
      <c r="A4762" s="57">
        <v>31161606</v>
      </c>
      <c r="B4762" s="58" t="s">
        <v>14939</v>
      </c>
    </row>
    <row r="4763" spans="1:2" x14ac:dyDescent="0.25">
      <c r="A4763" s="57">
        <v>31161607</v>
      </c>
      <c r="B4763" s="58" t="s">
        <v>2400</v>
      </c>
    </row>
    <row r="4764" spans="1:2" x14ac:dyDescent="0.25">
      <c r="A4764" s="57">
        <v>31161608</v>
      </c>
      <c r="B4764" s="58" t="s">
        <v>13657</v>
      </c>
    </row>
    <row r="4765" spans="1:2" x14ac:dyDescent="0.25">
      <c r="A4765" s="57">
        <v>31161609</v>
      </c>
      <c r="B4765" s="58" t="s">
        <v>9841</v>
      </c>
    </row>
    <row r="4766" spans="1:2" x14ac:dyDescent="0.25">
      <c r="A4766" s="57">
        <v>31161610</v>
      </c>
      <c r="B4766" s="58" t="s">
        <v>2642</v>
      </c>
    </row>
    <row r="4767" spans="1:2" x14ac:dyDescent="0.25">
      <c r="A4767" s="57">
        <v>31161611</v>
      </c>
      <c r="B4767" s="58" t="s">
        <v>10688</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13735</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11462</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10338</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17943</v>
      </c>
    </row>
    <row r="4806" spans="1:2" x14ac:dyDescent="0.25">
      <c r="A4806" s="57">
        <v>31161731</v>
      </c>
      <c r="B4806" s="58" t="s">
        <v>13921</v>
      </c>
    </row>
    <row r="4807" spans="1:2" x14ac:dyDescent="0.25">
      <c r="A4807" s="57">
        <v>31161801</v>
      </c>
      <c r="B4807" s="58" t="s">
        <v>8919</v>
      </c>
    </row>
    <row r="4808" spans="1:2" x14ac:dyDescent="0.25">
      <c r="A4808" s="57">
        <v>31161802</v>
      </c>
      <c r="B4808" s="58" t="s">
        <v>17305</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11815</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8309</v>
      </c>
    </row>
    <row r="4823" spans="1:2" x14ac:dyDescent="0.25">
      <c r="A4823" s="57">
        <v>31161817</v>
      </c>
      <c r="B4823" s="58" t="s">
        <v>9332</v>
      </c>
    </row>
    <row r="4824" spans="1:2" x14ac:dyDescent="0.25">
      <c r="A4824" s="57">
        <v>31161818</v>
      </c>
      <c r="B4824" s="58" t="s">
        <v>18800</v>
      </c>
    </row>
    <row r="4825" spans="1:2" x14ac:dyDescent="0.25">
      <c r="A4825" s="57">
        <v>31161819</v>
      </c>
      <c r="B4825" s="58" t="s">
        <v>10765</v>
      </c>
    </row>
    <row r="4826" spans="1:2" x14ac:dyDescent="0.25">
      <c r="A4826" s="57">
        <v>31161820</v>
      </c>
      <c r="B4826" s="58" t="s">
        <v>4215</v>
      </c>
    </row>
    <row r="4827" spans="1:2" x14ac:dyDescent="0.25">
      <c r="A4827" s="57">
        <v>31161901</v>
      </c>
      <c r="B4827" s="58" t="s">
        <v>2916</v>
      </c>
    </row>
    <row r="4828" spans="1:2" x14ac:dyDescent="0.25">
      <c r="A4828" s="57">
        <v>31161902</v>
      </c>
      <c r="B4828" s="58" t="s">
        <v>12383</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13093</v>
      </c>
    </row>
    <row r="4840" spans="1:2" x14ac:dyDescent="0.25">
      <c r="A4840" s="57">
        <v>31162006</v>
      </c>
      <c r="B4840" s="58" t="s">
        <v>16892</v>
      </c>
    </row>
    <row r="4841" spans="1:2" x14ac:dyDescent="0.25">
      <c r="A4841" s="57">
        <v>31162007</v>
      </c>
      <c r="B4841" s="58" t="s">
        <v>11767</v>
      </c>
    </row>
    <row r="4842" spans="1:2" x14ac:dyDescent="0.25">
      <c r="A4842" s="57">
        <v>31162008</v>
      </c>
      <c r="B4842" s="58" t="s">
        <v>10031</v>
      </c>
    </row>
    <row r="4843" spans="1:2" x14ac:dyDescent="0.25">
      <c r="A4843" s="57">
        <v>31162101</v>
      </c>
      <c r="B4843" s="58" t="s">
        <v>2750</v>
      </c>
    </row>
    <row r="4844" spans="1:2" x14ac:dyDescent="0.25">
      <c r="A4844" s="57">
        <v>31162102</v>
      </c>
      <c r="B4844" s="58" t="s">
        <v>6615</v>
      </c>
    </row>
    <row r="4845" spans="1:2" x14ac:dyDescent="0.25">
      <c r="A4845" s="57">
        <v>31162103</v>
      </c>
      <c r="B4845" s="58" t="s">
        <v>6070</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17800</v>
      </c>
    </row>
    <row r="4852" spans="1:2" x14ac:dyDescent="0.25">
      <c r="A4852" s="57">
        <v>31162202</v>
      </c>
      <c r="B4852" s="58" t="s">
        <v>10197</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10505</v>
      </c>
    </row>
    <row r="4866" spans="1:2" x14ac:dyDescent="0.25">
      <c r="A4866" s="57">
        <v>31162307</v>
      </c>
      <c r="B4866" s="58" t="s">
        <v>10247</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12974</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10924</v>
      </c>
    </row>
    <row r="4875" spans="1:2" x14ac:dyDescent="0.25">
      <c r="A4875" s="57">
        <v>31162403</v>
      </c>
      <c r="B4875" s="58" t="s">
        <v>506</v>
      </c>
    </row>
    <row r="4876" spans="1:2" x14ac:dyDescent="0.25">
      <c r="A4876" s="57">
        <v>31162404</v>
      </c>
      <c r="B4876" s="58" t="s">
        <v>10093</v>
      </c>
    </row>
    <row r="4877" spans="1:2" x14ac:dyDescent="0.25">
      <c r="A4877" s="57">
        <v>31162405</v>
      </c>
      <c r="B4877" s="58" t="s">
        <v>13870</v>
      </c>
    </row>
    <row r="4878" spans="1:2" x14ac:dyDescent="0.25">
      <c r="A4878" s="57">
        <v>31162406</v>
      </c>
      <c r="B4878" s="58" t="s">
        <v>12529</v>
      </c>
    </row>
    <row r="4879" spans="1:2" x14ac:dyDescent="0.25">
      <c r="A4879" s="57">
        <v>31162407</v>
      </c>
      <c r="B4879" s="58" t="s">
        <v>14855</v>
      </c>
    </row>
    <row r="4880" spans="1:2" x14ac:dyDescent="0.25">
      <c r="A4880" s="57">
        <v>31162409</v>
      </c>
      <c r="B4880" s="58" t="s">
        <v>9882</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11607</v>
      </c>
    </row>
    <row r="4889" spans="1:2" x14ac:dyDescent="0.25">
      <c r="A4889" s="57">
        <v>31162418</v>
      </c>
      <c r="B4889" s="58" t="s">
        <v>14693</v>
      </c>
    </row>
    <row r="4890" spans="1:2" x14ac:dyDescent="0.25">
      <c r="A4890" s="57">
        <v>31162501</v>
      </c>
      <c r="B4890" s="58" t="s">
        <v>4702</v>
      </c>
    </row>
    <row r="4891" spans="1:2" x14ac:dyDescent="0.25">
      <c r="A4891" s="57">
        <v>31162502</v>
      </c>
      <c r="B4891" s="58" t="s">
        <v>5257</v>
      </c>
    </row>
    <row r="4892" spans="1:2" x14ac:dyDescent="0.25">
      <c r="A4892" s="57">
        <v>31162503</v>
      </c>
      <c r="B4892" s="58" t="s">
        <v>11138</v>
      </c>
    </row>
    <row r="4893" spans="1:2" x14ac:dyDescent="0.25">
      <c r="A4893" s="57">
        <v>31162504</v>
      </c>
      <c r="B4893" s="58" t="s">
        <v>15480</v>
      </c>
    </row>
    <row r="4894" spans="1:2" x14ac:dyDescent="0.25">
      <c r="A4894" s="57">
        <v>31162505</v>
      </c>
      <c r="B4894" s="58" t="s">
        <v>12566</v>
      </c>
    </row>
    <row r="4895" spans="1:2" x14ac:dyDescent="0.25">
      <c r="A4895" s="57">
        <v>31162506</v>
      </c>
      <c r="B4895" s="58" t="s">
        <v>8756</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13205</v>
      </c>
    </row>
    <row r="4900" spans="1:2" x14ac:dyDescent="0.25">
      <c r="A4900" s="57">
        <v>31162604</v>
      </c>
      <c r="B4900" s="58" t="s">
        <v>2465</v>
      </c>
    </row>
    <row r="4901" spans="1:2" x14ac:dyDescent="0.25">
      <c r="A4901" s="57">
        <v>31162605</v>
      </c>
      <c r="B4901" s="58" t="s">
        <v>12884</v>
      </c>
    </row>
    <row r="4902" spans="1:2" x14ac:dyDescent="0.25">
      <c r="A4902" s="57">
        <v>31162606</v>
      </c>
      <c r="B4902" s="58" t="s">
        <v>18628</v>
      </c>
    </row>
    <row r="4903" spans="1:2" x14ac:dyDescent="0.25">
      <c r="A4903" s="57">
        <v>31162607</v>
      </c>
      <c r="B4903" s="58" t="s">
        <v>9836</v>
      </c>
    </row>
    <row r="4904" spans="1:2" x14ac:dyDescent="0.25">
      <c r="A4904" s="57">
        <v>31162608</v>
      </c>
      <c r="B4904" s="58" t="s">
        <v>10565</v>
      </c>
    </row>
    <row r="4905" spans="1:2" x14ac:dyDescent="0.25">
      <c r="A4905" s="57">
        <v>31162609</v>
      </c>
      <c r="B4905" s="58" t="s">
        <v>13402</v>
      </c>
    </row>
    <row r="4906" spans="1:2" x14ac:dyDescent="0.25">
      <c r="A4906" s="57">
        <v>31162610</v>
      </c>
      <c r="B4906" s="58" t="s">
        <v>13206</v>
      </c>
    </row>
    <row r="4907" spans="1:2" x14ac:dyDescent="0.25">
      <c r="A4907" s="57">
        <v>31162611</v>
      </c>
      <c r="B4907" s="58" t="s">
        <v>17698</v>
      </c>
    </row>
    <row r="4908" spans="1:2" x14ac:dyDescent="0.25">
      <c r="A4908" s="57">
        <v>31162701</v>
      </c>
      <c r="B4908" s="58" t="s">
        <v>8706</v>
      </c>
    </row>
    <row r="4909" spans="1:2" x14ac:dyDescent="0.25">
      <c r="A4909" s="57">
        <v>31162702</v>
      </c>
      <c r="B4909" s="58" t="s">
        <v>7052</v>
      </c>
    </row>
    <row r="4910" spans="1:2" x14ac:dyDescent="0.25">
      <c r="A4910" s="57">
        <v>31162703</v>
      </c>
      <c r="B4910" s="58" t="s">
        <v>11660</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9935</v>
      </c>
    </row>
    <row r="4925" spans="1:2" x14ac:dyDescent="0.25">
      <c r="A4925" s="57">
        <v>31162903</v>
      </c>
      <c r="B4925" s="58" t="s">
        <v>14998</v>
      </c>
    </row>
    <row r="4926" spans="1:2" x14ac:dyDescent="0.25">
      <c r="A4926" s="57">
        <v>31162904</v>
      </c>
      <c r="B4926" s="58" t="s">
        <v>4595</v>
      </c>
    </row>
    <row r="4927" spans="1:2" x14ac:dyDescent="0.25">
      <c r="A4927" s="57">
        <v>31162905</v>
      </c>
      <c r="B4927" s="58" t="s">
        <v>17893</v>
      </c>
    </row>
    <row r="4928" spans="1:2" x14ac:dyDescent="0.25">
      <c r="A4928" s="57">
        <v>31162906</v>
      </c>
      <c r="B4928" s="58" t="s">
        <v>15669</v>
      </c>
    </row>
    <row r="4929" spans="1:2" x14ac:dyDescent="0.25">
      <c r="A4929" s="57">
        <v>31163001</v>
      </c>
      <c r="B4929" s="58" t="s">
        <v>11898</v>
      </c>
    </row>
    <row r="4930" spans="1:2" x14ac:dyDescent="0.25">
      <c r="A4930" s="57">
        <v>31163002</v>
      </c>
      <c r="B4930" s="58" t="s">
        <v>10046</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9882</v>
      </c>
    </row>
    <row r="4941" spans="1:2" x14ac:dyDescent="0.25">
      <c r="A4941" s="57">
        <v>31163205</v>
      </c>
      <c r="B4941" s="58" t="s">
        <v>1134</v>
      </c>
    </row>
    <row r="4942" spans="1:2" x14ac:dyDescent="0.25">
      <c r="A4942" s="57">
        <v>31163207</v>
      </c>
      <c r="B4942" s="58" t="s">
        <v>5963</v>
      </c>
    </row>
    <row r="4943" spans="1:2" x14ac:dyDescent="0.25">
      <c r="A4943" s="57">
        <v>31163208</v>
      </c>
      <c r="B4943" s="58" t="s">
        <v>7863</v>
      </c>
    </row>
    <row r="4944" spans="1:2" x14ac:dyDescent="0.25">
      <c r="A4944" s="57">
        <v>31163209</v>
      </c>
      <c r="B4944" s="58" t="s">
        <v>12846</v>
      </c>
    </row>
    <row r="4945" spans="1:2" x14ac:dyDescent="0.25">
      <c r="A4945" s="57">
        <v>31163210</v>
      </c>
      <c r="B4945" s="58" t="s">
        <v>8822</v>
      </c>
    </row>
    <row r="4946" spans="1:2" x14ac:dyDescent="0.25">
      <c r="A4946" s="57">
        <v>31163211</v>
      </c>
      <c r="B4946" s="58" t="s">
        <v>5971</v>
      </c>
    </row>
    <row r="4947" spans="1:2" x14ac:dyDescent="0.25">
      <c r="A4947" s="57">
        <v>31163212</v>
      </c>
      <c r="B4947" s="58" t="s">
        <v>16366</v>
      </c>
    </row>
    <row r="4948" spans="1:2" x14ac:dyDescent="0.25">
      <c r="A4948" s="57">
        <v>31163213</v>
      </c>
      <c r="B4948" s="58" t="s">
        <v>11902</v>
      </c>
    </row>
    <row r="4949" spans="1:2" x14ac:dyDescent="0.25">
      <c r="A4949" s="57">
        <v>31163214</v>
      </c>
      <c r="B4949" s="58" t="s">
        <v>13180</v>
      </c>
    </row>
    <row r="4950" spans="1:2" x14ac:dyDescent="0.25">
      <c r="A4950" s="57">
        <v>31163215</v>
      </c>
      <c r="B4950" s="58" t="s">
        <v>5028</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7617</v>
      </c>
    </row>
    <row r="4955" spans="1:2" x14ac:dyDescent="0.25">
      <c r="A4955" s="57">
        <v>31171504</v>
      </c>
      <c r="B4955" s="58" t="s">
        <v>10791</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10561</v>
      </c>
    </row>
    <row r="4961" spans="1:2" x14ac:dyDescent="0.25">
      <c r="A4961" s="57">
        <v>31171510</v>
      </c>
      <c r="B4961" s="58" t="s">
        <v>7425</v>
      </c>
    </row>
    <row r="4962" spans="1:2" x14ac:dyDescent="0.25">
      <c r="A4962" s="57">
        <v>31171511</v>
      </c>
      <c r="B4962" s="58" t="s">
        <v>12254</v>
      </c>
    </row>
    <row r="4963" spans="1:2" x14ac:dyDescent="0.25">
      <c r="A4963" s="57">
        <v>31171512</v>
      </c>
      <c r="B4963" s="58" t="s">
        <v>15865</v>
      </c>
    </row>
    <row r="4964" spans="1:2" x14ac:dyDescent="0.25">
      <c r="A4964" s="57">
        <v>31171513</v>
      </c>
      <c r="B4964" s="58" t="s">
        <v>14003</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9752</v>
      </c>
    </row>
    <row r="4971" spans="1:2" x14ac:dyDescent="0.25">
      <c r="A4971" s="57">
        <v>31171522</v>
      </c>
      <c r="B4971" s="58" t="s">
        <v>2252</v>
      </c>
    </row>
    <row r="4972" spans="1:2" x14ac:dyDescent="0.25">
      <c r="A4972" s="57">
        <v>31171523</v>
      </c>
      <c r="B4972" s="58" t="s">
        <v>13441</v>
      </c>
    </row>
    <row r="4973" spans="1:2" x14ac:dyDescent="0.25">
      <c r="A4973" s="57">
        <v>31171524</v>
      </c>
      <c r="B4973" s="58" t="s">
        <v>15268</v>
      </c>
    </row>
    <row r="4974" spans="1:2" x14ac:dyDescent="0.25">
      <c r="A4974" s="57">
        <v>31171525</v>
      </c>
      <c r="B4974" s="58" t="s">
        <v>16595</v>
      </c>
    </row>
    <row r="4975" spans="1:2" x14ac:dyDescent="0.25">
      <c r="A4975" s="57">
        <v>31171526</v>
      </c>
      <c r="B4975" s="58" t="s">
        <v>9902</v>
      </c>
    </row>
    <row r="4976" spans="1:2" x14ac:dyDescent="0.25">
      <c r="A4976" s="57">
        <v>31171527</v>
      </c>
      <c r="B4976" s="58" t="s">
        <v>2001</v>
      </c>
    </row>
    <row r="4977" spans="1:2" x14ac:dyDescent="0.25">
      <c r="A4977" s="57">
        <v>31171528</v>
      </c>
      <c r="B4977" s="58" t="s">
        <v>2800</v>
      </c>
    </row>
    <row r="4978" spans="1:2" x14ac:dyDescent="0.25">
      <c r="A4978" s="57">
        <v>31171529</v>
      </c>
      <c r="B4978" s="58" t="s">
        <v>13196</v>
      </c>
    </row>
    <row r="4979" spans="1:2" x14ac:dyDescent="0.25">
      <c r="A4979" s="57">
        <v>31171603</v>
      </c>
      <c r="B4979" s="58" t="s">
        <v>13999</v>
      </c>
    </row>
    <row r="4980" spans="1:2" x14ac:dyDescent="0.25">
      <c r="A4980" s="57">
        <v>31171604</v>
      </c>
      <c r="B4980" s="58" t="s">
        <v>809</v>
      </c>
    </row>
    <row r="4981" spans="1:2" x14ac:dyDescent="0.25">
      <c r="A4981" s="57">
        <v>31171605</v>
      </c>
      <c r="B4981" s="58" t="s">
        <v>10923</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11777</v>
      </c>
    </row>
    <row r="4986" spans="1:2" x14ac:dyDescent="0.25">
      <c r="A4986" s="57">
        <v>31171708</v>
      </c>
      <c r="B4986" s="58" t="s">
        <v>3564</v>
      </c>
    </row>
    <row r="4987" spans="1:2" x14ac:dyDescent="0.25">
      <c r="A4987" s="57">
        <v>31171709</v>
      </c>
      <c r="B4987" s="58" t="s">
        <v>11562</v>
      </c>
    </row>
    <row r="4988" spans="1:2" x14ac:dyDescent="0.25">
      <c r="A4988" s="57">
        <v>31171710</v>
      </c>
      <c r="B4988" s="58" t="s">
        <v>10854</v>
      </c>
    </row>
    <row r="4989" spans="1:2" x14ac:dyDescent="0.25">
      <c r="A4989" s="57">
        <v>31171711</v>
      </c>
      <c r="B4989" s="58" t="s">
        <v>16468</v>
      </c>
    </row>
    <row r="4990" spans="1:2" x14ac:dyDescent="0.25">
      <c r="A4990" s="57">
        <v>31171712</v>
      </c>
      <c r="B4990" s="58" t="s">
        <v>18054</v>
      </c>
    </row>
    <row r="4991" spans="1:2" x14ac:dyDescent="0.25">
      <c r="A4991" s="57">
        <v>31171713</v>
      </c>
      <c r="B4991" s="58" t="s">
        <v>10167</v>
      </c>
    </row>
    <row r="4992" spans="1:2" x14ac:dyDescent="0.25">
      <c r="A4992" s="57">
        <v>31171714</v>
      </c>
      <c r="B4992" s="58" t="s">
        <v>8243</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9987</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9266</v>
      </c>
    </row>
    <row r="5001" spans="1:2" x14ac:dyDescent="0.25">
      <c r="A5001" s="57">
        <v>31181502</v>
      </c>
      <c r="B5001" s="58" t="s">
        <v>12540</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12339</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11872</v>
      </c>
    </row>
    <row r="5011" spans="1:2" x14ac:dyDescent="0.25">
      <c r="A5011" s="57">
        <v>31181512</v>
      </c>
      <c r="B5011" s="58" t="s">
        <v>2187</v>
      </c>
    </row>
    <row r="5012" spans="1:2" x14ac:dyDescent="0.25">
      <c r="A5012" s="57">
        <v>31181601</v>
      </c>
      <c r="B5012" s="58" t="s">
        <v>8642</v>
      </c>
    </row>
    <row r="5013" spans="1:2" x14ac:dyDescent="0.25">
      <c r="A5013" s="57">
        <v>31181602</v>
      </c>
      <c r="B5013" s="58" t="s">
        <v>12653</v>
      </c>
    </row>
    <row r="5014" spans="1:2" x14ac:dyDescent="0.25">
      <c r="A5014" s="57">
        <v>31181603</v>
      </c>
      <c r="B5014" s="58" t="s">
        <v>7180</v>
      </c>
    </row>
    <row r="5015" spans="1:2" x14ac:dyDescent="0.25">
      <c r="A5015" s="57">
        <v>31181604</v>
      </c>
      <c r="B5015" s="58" t="s">
        <v>11659</v>
      </c>
    </row>
    <row r="5016" spans="1:2" x14ac:dyDescent="0.25">
      <c r="A5016" s="57">
        <v>31181605</v>
      </c>
      <c r="B5016" s="58" t="s">
        <v>15583</v>
      </c>
    </row>
    <row r="5017" spans="1:2" x14ac:dyDescent="0.25">
      <c r="A5017" s="57">
        <v>31181606</v>
      </c>
      <c r="B5017" s="58" t="s">
        <v>4014</v>
      </c>
    </row>
    <row r="5018" spans="1:2" x14ac:dyDescent="0.25">
      <c r="A5018" s="57">
        <v>31181607</v>
      </c>
      <c r="B5018" s="58" t="s">
        <v>14501</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11453</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11477</v>
      </c>
    </row>
    <row r="5033" spans="1:2" x14ac:dyDescent="0.25">
      <c r="A5033" s="57">
        <v>31191513</v>
      </c>
      <c r="B5033" s="58" t="s">
        <v>13272</v>
      </c>
    </row>
    <row r="5034" spans="1:2" x14ac:dyDescent="0.25">
      <c r="A5034" s="57">
        <v>31191514</v>
      </c>
      <c r="B5034" s="58" t="s">
        <v>12609</v>
      </c>
    </row>
    <row r="5035" spans="1:2" x14ac:dyDescent="0.25">
      <c r="A5035" s="57">
        <v>31191515</v>
      </c>
      <c r="B5035" s="58" t="s">
        <v>12710</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11775</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17517</v>
      </c>
    </row>
    <row r="5044" spans="1:2" x14ac:dyDescent="0.25">
      <c r="A5044" s="57">
        <v>31201502</v>
      </c>
      <c r="B5044" s="58" t="s">
        <v>12253</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11406</v>
      </c>
    </row>
    <row r="5056" spans="1:2" x14ac:dyDescent="0.25">
      <c r="A5056" s="57">
        <v>31201514</v>
      </c>
      <c r="B5056" s="58" t="s">
        <v>6799</v>
      </c>
    </row>
    <row r="5057" spans="1:2" x14ac:dyDescent="0.25">
      <c r="A5057" s="57">
        <v>31201515</v>
      </c>
      <c r="B5057" s="58" t="s">
        <v>13388</v>
      </c>
    </row>
    <row r="5058" spans="1:2" x14ac:dyDescent="0.25">
      <c r="A5058" s="57">
        <v>31201516</v>
      </c>
      <c r="B5058" s="58" t="s">
        <v>10945</v>
      </c>
    </row>
    <row r="5059" spans="1:2" x14ac:dyDescent="0.25">
      <c r="A5059" s="57">
        <v>31201517</v>
      </c>
      <c r="B5059" s="58" t="s">
        <v>10734</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11492</v>
      </c>
    </row>
    <row r="5064" spans="1:2" x14ac:dyDescent="0.25">
      <c r="A5064" s="57">
        <v>31201522</v>
      </c>
      <c r="B5064" s="58" t="s">
        <v>10370</v>
      </c>
    </row>
    <row r="5065" spans="1:2" x14ac:dyDescent="0.25">
      <c r="A5065" s="57">
        <v>31201523</v>
      </c>
      <c r="B5065" s="58" t="s">
        <v>15262</v>
      </c>
    </row>
    <row r="5066" spans="1:2" x14ac:dyDescent="0.25">
      <c r="A5066" s="57">
        <v>31201524</v>
      </c>
      <c r="B5066" s="58" t="s">
        <v>4109</v>
      </c>
    </row>
    <row r="5067" spans="1:2" x14ac:dyDescent="0.25">
      <c r="A5067" s="57">
        <v>31201525</v>
      </c>
      <c r="B5067" s="58" t="s">
        <v>11764</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5456</v>
      </c>
    </row>
    <row r="5074" spans="1:2" x14ac:dyDescent="0.25">
      <c r="A5074" s="57">
        <v>31201604</v>
      </c>
      <c r="B5074" s="58" t="s">
        <v>12911</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10764</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10318</v>
      </c>
    </row>
    <row r="5087" spans="1:2" x14ac:dyDescent="0.25">
      <c r="A5087" s="57">
        <v>31201617</v>
      </c>
      <c r="B5087" s="58" t="s">
        <v>16384</v>
      </c>
    </row>
    <row r="5088" spans="1:2" x14ac:dyDescent="0.25">
      <c r="A5088" s="57">
        <v>31211501</v>
      </c>
      <c r="B5088" s="58" t="s">
        <v>11603</v>
      </c>
    </row>
    <row r="5089" spans="1:2" x14ac:dyDescent="0.25">
      <c r="A5089" s="57">
        <v>31211502</v>
      </c>
      <c r="B5089" s="58" t="s">
        <v>2247</v>
      </c>
    </row>
    <row r="5090" spans="1:2" x14ac:dyDescent="0.25">
      <c r="A5090" s="57">
        <v>31211503</v>
      </c>
      <c r="B5090" s="58" t="s">
        <v>11034</v>
      </c>
    </row>
    <row r="5091" spans="1:2" x14ac:dyDescent="0.25">
      <c r="A5091" s="57">
        <v>31211504</v>
      </c>
      <c r="B5091" s="58" t="s">
        <v>14245</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11170</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12826</v>
      </c>
    </row>
    <row r="5104" spans="1:2" x14ac:dyDescent="0.25">
      <c r="A5104" s="57">
        <v>31211605</v>
      </c>
      <c r="B5104" s="58" t="s">
        <v>5562</v>
      </c>
    </row>
    <row r="5105" spans="1:2" x14ac:dyDescent="0.25">
      <c r="A5105" s="57">
        <v>31211606</v>
      </c>
      <c r="B5105" s="58" t="s">
        <v>14561</v>
      </c>
    </row>
    <row r="5106" spans="1:2" x14ac:dyDescent="0.25">
      <c r="A5106" s="57">
        <v>31211701</v>
      </c>
      <c r="B5106" s="58" t="s">
        <v>11720</v>
      </c>
    </row>
    <row r="5107" spans="1:2" x14ac:dyDescent="0.25">
      <c r="A5107" s="57">
        <v>31211702</v>
      </c>
      <c r="B5107" s="58" t="s">
        <v>18672</v>
      </c>
    </row>
    <row r="5108" spans="1:2" x14ac:dyDescent="0.25">
      <c r="A5108" s="57">
        <v>31211703</v>
      </c>
      <c r="B5108" s="58" t="s">
        <v>11441</v>
      </c>
    </row>
    <row r="5109" spans="1:2" x14ac:dyDescent="0.25">
      <c r="A5109" s="57">
        <v>31211704</v>
      </c>
      <c r="B5109" s="58" t="s">
        <v>9544</v>
      </c>
    </row>
    <row r="5110" spans="1:2" x14ac:dyDescent="0.25">
      <c r="A5110" s="57">
        <v>31211705</v>
      </c>
      <c r="B5110" s="58" t="s">
        <v>15604</v>
      </c>
    </row>
    <row r="5111" spans="1:2" x14ac:dyDescent="0.25">
      <c r="A5111" s="57">
        <v>31211706</v>
      </c>
      <c r="B5111" s="58" t="s">
        <v>12050</v>
      </c>
    </row>
    <row r="5112" spans="1:2" x14ac:dyDescent="0.25">
      <c r="A5112" s="57">
        <v>31211707</v>
      </c>
      <c r="B5112" s="58" t="s">
        <v>11813</v>
      </c>
    </row>
    <row r="5113" spans="1:2" x14ac:dyDescent="0.25">
      <c r="A5113" s="57">
        <v>31211708</v>
      </c>
      <c r="B5113" s="58" t="s">
        <v>1927</v>
      </c>
    </row>
    <row r="5114" spans="1:2" x14ac:dyDescent="0.25">
      <c r="A5114" s="57">
        <v>31211801</v>
      </c>
      <c r="B5114" s="58" t="s">
        <v>5474</v>
      </c>
    </row>
    <row r="5115" spans="1:2" x14ac:dyDescent="0.25">
      <c r="A5115" s="57">
        <v>31211802</v>
      </c>
      <c r="B5115" s="58" t="s">
        <v>14305</v>
      </c>
    </row>
    <row r="5116" spans="1:2" x14ac:dyDescent="0.25">
      <c r="A5116" s="57">
        <v>31211803</v>
      </c>
      <c r="B5116" s="58" t="s">
        <v>13941</v>
      </c>
    </row>
    <row r="5117" spans="1:2" x14ac:dyDescent="0.25">
      <c r="A5117" s="57">
        <v>31211901</v>
      </c>
      <c r="B5117" s="58" t="s">
        <v>11400</v>
      </c>
    </row>
    <row r="5118" spans="1:2" x14ac:dyDescent="0.25">
      <c r="A5118" s="57">
        <v>31211902</v>
      </c>
      <c r="B5118" s="58" t="s">
        <v>9182</v>
      </c>
    </row>
    <row r="5119" spans="1:2" x14ac:dyDescent="0.25">
      <c r="A5119" s="57">
        <v>31211903</v>
      </c>
      <c r="B5119" s="58" t="s">
        <v>14012</v>
      </c>
    </row>
    <row r="5120" spans="1:2" x14ac:dyDescent="0.25">
      <c r="A5120" s="57">
        <v>31211904</v>
      </c>
      <c r="B5120" s="58" t="s">
        <v>16355</v>
      </c>
    </row>
    <row r="5121" spans="1:2" x14ac:dyDescent="0.25">
      <c r="A5121" s="57">
        <v>31211905</v>
      </c>
      <c r="B5121" s="58" t="s">
        <v>4266</v>
      </c>
    </row>
    <row r="5122" spans="1:2" x14ac:dyDescent="0.25">
      <c r="A5122" s="57">
        <v>31211906</v>
      </c>
      <c r="B5122" s="58" t="s">
        <v>10526</v>
      </c>
    </row>
    <row r="5123" spans="1:2" x14ac:dyDescent="0.25">
      <c r="A5123" s="57">
        <v>31211908</v>
      </c>
      <c r="B5123" s="58" t="s">
        <v>10732</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12004</v>
      </c>
    </row>
    <row r="5130" spans="1:2" x14ac:dyDescent="0.25">
      <c r="A5130" s="57">
        <v>31211916</v>
      </c>
      <c r="B5130" s="58" t="s">
        <v>15149</v>
      </c>
    </row>
    <row r="5131" spans="1:2" x14ac:dyDescent="0.25">
      <c r="A5131" s="57">
        <v>31211917</v>
      </c>
      <c r="B5131" s="58" t="s">
        <v>7495</v>
      </c>
    </row>
    <row r="5132" spans="1:2" x14ac:dyDescent="0.25">
      <c r="A5132" s="57">
        <v>31221601</v>
      </c>
      <c r="B5132" s="58" t="s">
        <v>18021</v>
      </c>
    </row>
    <row r="5133" spans="1:2" x14ac:dyDescent="0.25">
      <c r="A5133" s="57">
        <v>31221602</v>
      </c>
      <c r="B5133" s="58" t="s">
        <v>13728</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12722</v>
      </c>
    </row>
    <row r="5144" spans="1:2" x14ac:dyDescent="0.25">
      <c r="A5144" s="57">
        <v>31231110</v>
      </c>
      <c r="B5144" s="58" t="s">
        <v>18673</v>
      </c>
    </row>
    <row r="5145" spans="1:2" x14ac:dyDescent="0.25">
      <c r="A5145" s="57">
        <v>31231111</v>
      </c>
      <c r="B5145" s="58" t="s">
        <v>5470</v>
      </c>
    </row>
    <row r="5146" spans="1:2" x14ac:dyDescent="0.25">
      <c r="A5146" s="57">
        <v>31231112</v>
      </c>
      <c r="B5146" s="58" t="s">
        <v>12544</v>
      </c>
    </row>
    <row r="5147" spans="1:2" x14ac:dyDescent="0.25">
      <c r="A5147" s="57">
        <v>31231113</v>
      </c>
      <c r="B5147" s="58" t="s">
        <v>11877</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12024</v>
      </c>
    </row>
    <row r="5153" spans="1:2" x14ac:dyDescent="0.25">
      <c r="A5153" s="57">
        <v>31231119</v>
      </c>
      <c r="B5153" s="58" t="s">
        <v>11734</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12535</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5500</v>
      </c>
    </row>
    <row r="5162" spans="1:2" x14ac:dyDescent="0.25">
      <c r="A5162" s="57">
        <v>31231209</v>
      </c>
      <c r="B5162" s="58" t="s">
        <v>18265</v>
      </c>
    </row>
    <row r="5163" spans="1:2" x14ac:dyDescent="0.25">
      <c r="A5163" s="57">
        <v>31231210</v>
      </c>
      <c r="B5163" s="58" t="s">
        <v>14697</v>
      </c>
    </row>
    <row r="5164" spans="1:2" x14ac:dyDescent="0.25">
      <c r="A5164" s="57">
        <v>31231211</v>
      </c>
      <c r="B5164" s="58" t="s">
        <v>16339</v>
      </c>
    </row>
    <row r="5165" spans="1:2" x14ac:dyDescent="0.25">
      <c r="A5165" s="57">
        <v>31231212</v>
      </c>
      <c r="B5165" s="58" t="s">
        <v>13228</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11913</v>
      </c>
    </row>
    <row r="5170" spans="1:2" x14ac:dyDescent="0.25">
      <c r="A5170" s="57">
        <v>31231217</v>
      </c>
      <c r="B5170" s="58" t="s">
        <v>13390</v>
      </c>
    </row>
    <row r="5171" spans="1:2" x14ac:dyDescent="0.25">
      <c r="A5171" s="57">
        <v>31231218</v>
      </c>
      <c r="B5171" s="58" t="s">
        <v>9194</v>
      </c>
    </row>
    <row r="5172" spans="1:2" x14ac:dyDescent="0.25">
      <c r="A5172" s="57">
        <v>31231219</v>
      </c>
      <c r="B5172" s="58" t="s">
        <v>3218</v>
      </c>
    </row>
    <row r="5173" spans="1:2" x14ac:dyDescent="0.25">
      <c r="A5173" s="57">
        <v>31231301</v>
      </c>
      <c r="B5173" s="58" t="s">
        <v>17329</v>
      </c>
    </row>
    <row r="5174" spans="1:2" x14ac:dyDescent="0.25">
      <c r="A5174" s="57">
        <v>31231302</v>
      </c>
      <c r="B5174" s="58" t="s">
        <v>11482</v>
      </c>
    </row>
    <row r="5175" spans="1:2" x14ac:dyDescent="0.25">
      <c r="A5175" s="57">
        <v>31231303</v>
      </c>
      <c r="B5175" s="58" t="s">
        <v>138</v>
      </c>
    </row>
    <row r="5176" spans="1:2" x14ac:dyDescent="0.25">
      <c r="A5176" s="57">
        <v>31231304</v>
      </c>
      <c r="B5176" s="58" t="s">
        <v>5397</v>
      </c>
    </row>
    <row r="5177" spans="1:2" x14ac:dyDescent="0.25">
      <c r="A5177" s="57">
        <v>31231305</v>
      </c>
      <c r="B5177" s="58" t="s">
        <v>13753</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10015</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11294</v>
      </c>
    </row>
    <row r="5200" spans="1:2" x14ac:dyDescent="0.25">
      <c r="A5200" s="57">
        <v>31241502</v>
      </c>
      <c r="B5200" s="58" t="s">
        <v>9846</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11698</v>
      </c>
    </row>
    <row r="5208" spans="1:2" x14ac:dyDescent="0.25">
      <c r="A5208" s="57">
        <v>31241608</v>
      </c>
      <c r="B5208" s="58" t="s">
        <v>4029</v>
      </c>
    </row>
    <row r="5209" spans="1:2" x14ac:dyDescent="0.25">
      <c r="A5209" s="57">
        <v>31241609</v>
      </c>
      <c r="B5209" s="58" t="s">
        <v>12593</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13393</v>
      </c>
    </row>
    <row r="5214" spans="1:2" x14ac:dyDescent="0.25">
      <c r="A5214" s="57">
        <v>31241704</v>
      </c>
      <c r="B5214" s="58" t="s">
        <v>12080</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14341</v>
      </c>
    </row>
    <row r="5225" spans="1:2" x14ac:dyDescent="0.25">
      <c r="A5225" s="57">
        <v>31241903</v>
      </c>
      <c r="B5225" s="58" t="s">
        <v>5564</v>
      </c>
    </row>
    <row r="5226" spans="1:2" x14ac:dyDescent="0.25">
      <c r="A5226" s="57">
        <v>31241904</v>
      </c>
      <c r="B5226" s="58" t="s">
        <v>14163</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12112</v>
      </c>
    </row>
    <row r="5234" spans="1:2" x14ac:dyDescent="0.25">
      <c r="A5234" s="57">
        <v>31242101</v>
      </c>
      <c r="B5234" s="58" t="s">
        <v>17820</v>
      </c>
    </row>
    <row r="5235" spans="1:2" x14ac:dyDescent="0.25">
      <c r="A5235" s="57">
        <v>31242103</v>
      </c>
      <c r="B5235" s="58" t="s">
        <v>10052</v>
      </c>
    </row>
    <row r="5236" spans="1:2" x14ac:dyDescent="0.25">
      <c r="A5236" s="57">
        <v>31242104</v>
      </c>
      <c r="B5236" s="58" t="s">
        <v>8945</v>
      </c>
    </row>
    <row r="5237" spans="1:2" x14ac:dyDescent="0.25">
      <c r="A5237" s="57">
        <v>31242105</v>
      </c>
      <c r="B5237" s="58" t="s">
        <v>8843</v>
      </c>
    </row>
    <row r="5238" spans="1:2" x14ac:dyDescent="0.25">
      <c r="A5238" s="57">
        <v>31242106</v>
      </c>
      <c r="B5238" s="58" t="s">
        <v>12662</v>
      </c>
    </row>
    <row r="5239" spans="1:2" x14ac:dyDescent="0.25">
      <c r="A5239" s="57">
        <v>31242201</v>
      </c>
      <c r="B5239" s="58" t="s">
        <v>1691</v>
      </c>
    </row>
    <row r="5240" spans="1:2" x14ac:dyDescent="0.25">
      <c r="A5240" s="57">
        <v>31242202</v>
      </c>
      <c r="B5240" s="58" t="s">
        <v>10165</v>
      </c>
    </row>
    <row r="5241" spans="1:2" x14ac:dyDescent="0.25">
      <c r="A5241" s="57">
        <v>31242203</v>
      </c>
      <c r="B5241" s="58" t="s">
        <v>18631</v>
      </c>
    </row>
    <row r="5242" spans="1:2" x14ac:dyDescent="0.25">
      <c r="A5242" s="57">
        <v>31242204</v>
      </c>
      <c r="B5242" s="58" t="s">
        <v>18244</v>
      </c>
    </row>
    <row r="5243" spans="1:2" x14ac:dyDescent="0.25">
      <c r="A5243" s="57">
        <v>31242205</v>
      </c>
      <c r="B5243" s="58" t="s">
        <v>9749</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12655</v>
      </c>
    </row>
    <row r="5250" spans="1:2" x14ac:dyDescent="0.25">
      <c r="A5250" s="57">
        <v>31251504</v>
      </c>
      <c r="B5250" s="58" t="s">
        <v>15309</v>
      </c>
    </row>
    <row r="5251" spans="1:2" x14ac:dyDescent="0.25">
      <c r="A5251" s="57">
        <v>31251505</v>
      </c>
      <c r="B5251" s="58" t="s">
        <v>18667</v>
      </c>
    </row>
    <row r="5252" spans="1:2" x14ac:dyDescent="0.25">
      <c r="A5252" s="57">
        <v>31251506</v>
      </c>
      <c r="B5252" s="58" t="s">
        <v>4964</v>
      </c>
    </row>
    <row r="5253" spans="1:2" x14ac:dyDescent="0.25">
      <c r="A5253" s="57">
        <v>31251507</v>
      </c>
      <c r="B5253" s="58" t="s">
        <v>13781</v>
      </c>
    </row>
    <row r="5254" spans="1:2" x14ac:dyDescent="0.25">
      <c r="A5254" s="57">
        <v>31251508</v>
      </c>
      <c r="B5254" s="58" t="s">
        <v>12480</v>
      </c>
    </row>
    <row r="5255" spans="1:2" x14ac:dyDescent="0.25">
      <c r="A5255" s="57">
        <v>31251509</v>
      </c>
      <c r="B5255" s="58" t="s">
        <v>3232</v>
      </c>
    </row>
    <row r="5256" spans="1:2" x14ac:dyDescent="0.25">
      <c r="A5256" s="57">
        <v>31251510</v>
      </c>
      <c r="B5256" s="58" t="s">
        <v>10211</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10717</v>
      </c>
    </row>
    <row r="5274" spans="1:2" x14ac:dyDescent="0.25">
      <c r="A5274" s="57">
        <v>31281503</v>
      </c>
      <c r="B5274" s="58" t="s">
        <v>2939</v>
      </c>
    </row>
    <row r="5275" spans="1:2" x14ac:dyDescent="0.25">
      <c r="A5275" s="57">
        <v>31281504</v>
      </c>
      <c r="B5275" s="58" t="s">
        <v>12336</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10866</v>
      </c>
    </row>
    <row r="5282" spans="1:2" x14ac:dyDescent="0.25">
      <c r="A5282" s="57">
        <v>31281511</v>
      </c>
      <c r="B5282" s="58" t="s">
        <v>12855</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11545</v>
      </c>
    </row>
    <row r="5287" spans="1:2" x14ac:dyDescent="0.25">
      <c r="A5287" s="57">
        <v>31281516</v>
      </c>
      <c r="B5287" s="58" t="s">
        <v>12948</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10029</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10525</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17363</v>
      </c>
    </row>
    <row r="5307" spans="1:2" x14ac:dyDescent="0.25">
      <c r="A5307" s="57">
        <v>31281814</v>
      </c>
      <c r="B5307" s="58" t="s">
        <v>5650</v>
      </c>
    </row>
    <row r="5308" spans="1:2" x14ac:dyDescent="0.25">
      <c r="A5308" s="57">
        <v>31281815</v>
      </c>
      <c r="B5308" s="58" t="s">
        <v>5477</v>
      </c>
    </row>
    <row r="5309" spans="1:2" x14ac:dyDescent="0.25">
      <c r="A5309" s="57">
        <v>31281816</v>
      </c>
      <c r="B5309" s="58" t="s">
        <v>11243</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10777</v>
      </c>
    </row>
    <row r="5314" spans="1:2" x14ac:dyDescent="0.25">
      <c r="A5314" s="57">
        <v>31281902</v>
      </c>
      <c r="B5314" s="58" t="s">
        <v>5876</v>
      </c>
    </row>
    <row r="5315" spans="1:2" x14ac:dyDescent="0.25">
      <c r="A5315" s="57">
        <v>31281903</v>
      </c>
      <c r="B5315" s="58" t="s">
        <v>15197</v>
      </c>
    </row>
    <row r="5316" spans="1:2" x14ac:dyDescent="0.25">
      <c r="A5316" s="57">
        <v>31281904</v>
      </c>
      <c r="B5316" s="58" t="s">
        <v>3355</v>
      </c>
    </row>
    <row r="5317" spans="1:2" x14ac:dyDescent="0.25">
      <c r="A5317" s="57">
        <v>31281905</v>
      </c>
      <c r="B5317" s="58" t="s">
        <v>10810</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13112</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13138</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17595</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13341</v>
      </c>
    </row>
    <row r="5344" spans="1:2" x14ac:dyDescent="0.25">
      <c r="A5344" s="57">
        <v>31282013</v>
      </c>
      <c r="B5344" s="58" t="s">
        <v>8398</v>
      </c>
    </row>
    <row r="5345" spans="1:2" x14ac:dyDescent="0.25">
      <c r="A5345" s="57">
        <v>31282014</v>
      </c>
      <c r="B5345" s="58" t="s">
        <v>14137</v>
      </c>
    </row>
    <row r="5346" spans="1:2" x14ac:dyDescent="0.25">
      <c r="A5346" s="57">
        <v>31282015</v>
      </c>
      <c r="B5346" s="58" t="s">
        <v>9579</v>
      </c>
    </row>
    <row r="5347" spans="1:2" x14ac:dyDescent="0.25">
      <c r="A5347" s="57">
        <v>31282016</v>
      </c>
      <c r="B5347" s="58" t="s">
        <v>13839</v>
      </c>
    </row>
    <row r="5348" spans="1:2" x14ac:dyDescent="0.25">
      <c r="A5348" s="57">
        <v>31282017</v>
      </c>
      <c r="B5348" s="58" t="s">
        <v>9416</v>
      </c>
    </row>
    <row r="5349" spans="1:2" x14ac:dyDescent="0.25">
      <c r="A5349" s="57">
        <v>31282018</v>
      </c>
      <c r="B5349" s="58" t="s">
        <v>10597</v>
      </c>
    </row>
    <row r="5350" spans="1:2" x14ac:dyDescent="0.25">
      <c r="A5350" s="57">
        <v>31282019</v>
      </c>
      <c r="B5350" s="58" t="s">
        <v>14221</v>
      </c>
    </row>
    <row r="5351" spans="1:2" x14ac:dyDescent="0.25">
      <c r="A5351" s="57">
        <v>31282101</v>
      </c>
      <c r="B5351" s="58" t="s">
        <v>5010</v>
      </c>
    </row>
    <row r="5352" spans="1:2" x14ac:dyDescent="0.25">
      <c r="A5352" s="57">
        <v>31282102</v>
      </c>
      <c r="B5352" s="58" t="s">
        <v>14008</v>
      </c>
    </row>
    <row r="5353" spans="1:2" x14ac:dyDescent="0.25">
      <c r="A5353" s="57">
        <v>31282103</v>
      </c>
      <c r="B5353" s="58" t="s">
        <v>8830</v>
      </c>
    </row>
    <row r="5354" spans="1:2" x14ac:dyDescent="0.25">
      <c r="A5354" s="57">
        <v>31282104</v>
      </c>
      <c r="B5354" s="58" t="s">
        <v>12982</v>
      </c>
    </row>
    <row r="5355" spans="1:2" x14ac:dyDescent="0.25">
      <c r="A5355" s="57">
        <v>31282105</v>
      </c>
      <c r="B5355" s="58" t="s">
        <v>11893</v>
      </c>
    </row>
    <row r="5356" spans="1:2" x14ac:dyDescent="0.25">
      <c r="A5356" s="57">
        <v>31282106</v>
      </c>
      <c r="B5356" s="58" t="s">
        <v>7768</v>
      </c>
    </row>
    <row r="5357" spans="1:2" x14ac:dyDescent="0.25">
      <c r="A5357" s="57">
        <v>31282107</v>
      </c>
      <c r="B5357" s="58" t="s">
        <v>9795</v>
      </c>
    </row>
    <row r="5358" spans="1:2" x14ac:dyDescent="0.25">
      <c r="A5358" s="57">
        <v>31282108</v>
      </c>
      <c r="B5358" s="58" t="s">
        <v>12348</v>
      </c>
    </row>
    <row r="5359" spans="1:2" x14ac:dyDescent="0.25">
      <c r="A5359" s="57">
        <v>31282109</v>
      </c>
      <c r="B5359" s="58" t="s">
        <v>3408</v>
      </c>
    </row>
    <row r="5360" spans="1:2" x14ac:dyDescent="0.25">
      <c r="A5360" s="57">
        <v>31282110</v>
      </c>
      <c r="B5360" s="58" t="s">
        <v>14005</v>
      </c>
    </row>
    <row r="5361" spans="1:2" x14ac:dyDescent="0.25">
      <c r="A5361" s="57">
        <v>31282111</v>
      </c>
      <c r="B5361" s="58" t="s">
        <v>8956</v>
      </c>
    </row>
    <row r="5362" spans="1:2" x14ac:dyDescent="0.25">
      <c r="A5362" s="57">
        <v>31282112</v>
      </c>
      <c r="B5362" s="58" t="s">
        <v>13860</v>
      </c>
    </row>
    <row r="5363" spans="1:2" x14ac:dyDescent="0.25">
      <c r="A5363" s="57">
        <v>31282113</v>
      </c>
      <c r="B5363" s="58" t="s">
        <v>11894</v>
      </c>
    </row>
    <row r="5364" spans="1:2" x14ac:dyDescent="0.25">
      <c r="A5364" s="57">
        <v>31282114</v>
      </c>
      <c r="B5364" s="58" t="s">
        <v>14513</v>
      </c>
    </row>
    <row r="5365" spans="1:2" x14ac:dyDescent="0.25">
      <c r="A5365" s="57">
        <v>31282115</v>
      </c>
      <c r="B5365" s="58" t="s">
        <v>11592</v>
      </c>
    </row>
    <row r="5366" spans="1:2" x14ac:dyDescent="0.25">
      <c r="A5366" s="57">
        <v>31282116</v>
      </c>
      <c r="B5366" s="58" t="s">
        <v>2861</v>
      </c>
    </row>
    <row r="5367" spans="1:2" x14ac:dyDescent="0.25">
      <c r="A5367" s="57">
        <v>31282117</v>
      </c>
      <c r="B5367" s="58" t="s">
        <v>1348</v>
      </c>
    </row>
    <row r="5368" spans="1:2" x14ac:dyDescent="0.25">
      <c r="A5368" s="57">
        <v>31282118</v>
      </c>
      <c r="B5368" s="58" t="s">
        <v>11380</v>
      </c>
    </row>
    <row r="5369" spans="1:2" x14ac:dyDescent="0.25">
      <c r="A5369" s="57">
        <v>31282119</v>
      </c>
      <c r="B5369" s="58" t="s">
        <v>6624</v>
      </c>
    </row>
    <row r="5370" spans="1:2" x14ac:dyDescent="0.25">
      <c r="A5370" s="57">
        <v>31282201</v>
      </c>
      <c r="B5370" s="58" t="s">
        <v>10836</v>
      </c>
    </row>
    <row r="5371" spans="1:2" x14ac:dyDescent="0.25">
      <c r="A5371" s="57">
        <v>31282202</v>
      </c>
      <c r="B5371" s="58" t="s">
        <v>15270</v>
      </c>
    </row>
    <row r="5372" spans="1:2" x14ac:dyDescent="0.25">
      <c r="A5372" s="57">
        <v>31282203</v>
      </c>
      <c r="B5372" s="58" t="s">
        <v>12749</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10266</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10405</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17514</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14772</v>
      </c>
    </row>
    <row r="5396" spans="1:2" x14ac:dyDescent="0.25">
      <c r="A5396" s="57">
        <v>31282308</v>
      </c>
      <c r="B5396" s="58" t="s">
        <v>8735</v>
      </c>
    </row>
    <row r="5397" spans="1:2" x14ac:dyDescent="0.25">
      <c r="A5397" s="57">
        <v>31282309</v>
      </c>
      <c r="B5397" s="58" t="s">
        <v>9794</v>
      </c>
    </row>
    <row r="5398" spans="1:2" x14ac:dyDescent="0.25">
      <c r="A5398" s="57">
        <v>31282310</v>
      </c>
      <c r="B5398" s="58" t="s">
        <v>12973</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13588</v>
      </c>
    </row>
    <row r="5403" spans="1:2" x14ac:dyDescent="0.25">
      <c r="A5403" s="57">
        <v>31282315</v>
      </c>
      <c r="B5403" s="58" t="s">
        <v>16445</v>
      </c>
    </row>
    <row r="5404" spans="1:2" x14ac:dyDescent="0.25">
      <c r="A5404" s="57">
        <v>31282316</v>
      </c>
      <c r="B5404" s="58" t="s">
        <v>5021</v>
      </c>
    </row>
    <row r="5405" spans="1:2" x14ac:dyDescent="0.25">
      <c r="A5405" s="57">
        <v>31282317</v>
      </c>
      <c r="B5405" s="58" t="s">
        <v>13435</v>
      </c>
    </row>
    <row r="5406" spans="1:2" x14ac:dyDescent="0.25">
      <c r="A5406" s="57">
        <v>31282318</v>
      </c>
      <c r="B5406" s="58" t="s">
        <v>10598</v>
      </c>
    </row>
    <row r="5407" spans="1:2" x14ac:dyDescent="0.25">
      <c r="A5407" s="57">
        <v>31282319</v>
      </c>
      <c r="B5407" s="58" t="s">
        <v>9258</v>
      </c>
    </row>
    <row r="5408" spans="1:2" x14ac:dyDescent="0.25">
      <c r="A5408" s="57">
        <v>31282401</v>
      </c>
      <c r="B5408" s="58" t="s">
        <v>13755</v>
      </c>
    </row>
    <row r="5409" spans="1:2" x14ac:dyDescent="0.25">
      <c r="A5409" s="57">
        <v>31282402</v>
      </c>
      <c r="B5409" s="58" t="s">
        <v>10042</v>
      </c>
    </row>
    <row r="5410" spans="1:2" x14ac:dyDescent="0.25">
      <c r="A5410" s="57">
        <v>31282403</v>
      </c>
      <c r="B5410" s="58" t="s">
        <v>15526</v>
      </c>
    </row>
    <row r="5411" spans="1:2" x14ac:dyDescent="0.25">
      <c r="A5411" s="57">
        <v>31282404</v>
      </c>
      <c r="B5411" s="58" t="s">
        <v>6580</v>
      </c>
    </row>
    <row r="5412" spans="1:2" x14ac:dyDescent="0.25">
      <c r="A5412" s="57">
        <v>31282405</v>
      </c>
      <c r="B5412" s="58" t="s">
        <v>13611</v>
      </c>
    </row>
    <row r="5413" spans="1:2" x14ac:dyDescent="0.25">
      <c r="A5413" s="57">
        <v>31282406</v>
      </c>
      <c r="B5413" s="58" t="s">
        <v>11347</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11567</v>
      </c>
    </row>
    <row r="5418" spans="1:2" x14ac:dyDescent="0.25">
      <c r="A5418" s="57">
        <v>31282411</v>
      </c>
      <c r="B5418" s="58" t="s">
        <v>15637</v>
      </c>
    </row>
    <row r="5419" spans="1:2" x14ac:dyDescent="0.25">
      <c r="A5419" s="57">
        <v>31282412</v>
      </c>
      <c r="B5419" s="58" t="s">
        <v>2552</v>
      </c>
    </row>
    <row r="5420" spans="1:2" x14ac:dyDescent="0.25">
      <c r="A5420" s="57">
        <v>31282413</v>
      </c>
      <c r="B5420" s="58" t="s">
        <v>11956</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12298</v>
      </c>
    </row>
    <row r="5431" spans="1:2" x14ac:dyDescent="0.25">
      <c r="A5431" s="57">
        <v>31291105</v>
      </c>
      <c r="B5431" s="58" t="s">
        <v>13749</v>
      </c>
    </row>
    <row r="5432" spans="1:2" x14ac:dyDescent="0.25">
      <c r="A5432" s="57">
        <v>31291106</v>
      </c>
      <c r="B5432" s="58" t="s">
        <v>18063</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11130</v>
      </c>
    </row>
    <row r="5438" spans="1:2" x14ac:dyDescent="0.25">
      <c r="A5438" s="57">
        <v>31291112</v>
      </c>
      <c r="B5438" s="58" t="s">
        <v>18553</v>
      </c>
    </row>
    <row r="5439" spans="1:2" x14ac:dyDescent="0.25">
      <c r="A5439" s="57">
        <v>31291113</v>
      </c>
      <c r="B5439" s="58" t="s">
        <v>12559</v>
      </c>
    </row>
    <row r="5440" spans="1:2" x14ac:dyDescent="0.25">
      <c r="A5440" s="57">
        <v>31291114</v>
      </c>
      <c r="B5440" s="58" t="s">
        <v>12230</v>
      </c>
    </row>
    <row r="5441" spans="1:2" x14ac:dyDescent="0.25">
      <c r="A5441" s="57">
        <v>31291115</v>
      </c>
      <c r="B5441" s="58" t="s">
        <v>15734</v>
      </c>
    </row>
    <row r="5442" spans="1:2" x14ac:dyDescent="0.25">
      <c r="A5442" s="57">
        <v>31291116</v>
      </c>
      <c r="B5442" s="58" t="s">
        <v>463</v>
      </c>
    </row>
    <row r="5443" spans="1:2" x14ac:dyDescent="0.25">
      <c r="A5443" s="57">
        <v>31291117</v>
      </c>
      <c r="B5443" s="58" t="s">
        <v>11494</v>
      </c>
    </row>
    <row r="5444" spans="1:2" x14ac:dyDescent="0.25">
      <c r="A5444" s="57">
        <v>31291118</v>
      </c>
      <c r="B5444" s="58" t="s">
        <v>15129</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7611</v>
      </c>
    </row>
    <row r="5450" spans="1:2" x14ac:dyDescent="0.25">
      <c r="A5450" s="57">
        <v>31291204</v>
      </c>
      <c r="B5450" s="58" t="s">
        <v>12241</v>
      </c>
    </row>
    <row r="5451" spans="1:2" x14ac:dyDescent="0.25">
      <c r="A5451" s="57">
        <v>31291205</v>
      </c>
      <c r="B5451" s="58" t="s">
        <v>2517</v>
      </c>
    </row>
    <row r="5452" spans="1:2" x14ac:dyDescent="0.25">
      <c r="A5452" s="57">
        <v>31291206</v>
      </c>
      <c r="B5452" s="58" t="s">
        <v>9885</v>
      </c>
    </row>
    <row r="5453" spans="1:2" x14ac:dyDescent="0.25">
      <c r="A5453" s="57">
        <v>31291207</v>
      </c>
      <c r="B5453" s="58" t="s">
        <v>16844</v>
      </c>
    </row>
    <row r="5454" spans="1:2" x14ac:dyDescent="0.25">
      <c r="A5454" s="57">
        <v>31291208</v>
      </c>
      <c r="B5454" s="58" t="s">
        <v>14319</v>
      </c>
    </row>
    <row r="5455" spans="1:2" x14ac:dyDescent="0.25">
      <c r="A5455" s="57">
        <v>31291209</v>
      </c>
      <c r="B5455" s="58" t="s">
        <v>8334</v>
      </c>
    </row>
    <row r="5456" spans="1:2" x14ac:dyDescent="0.25">
      <c r="A5456" s="57">
        <v>31291210</v>
      </c>
      <c r="B5456" s="58" t="s">
        <v>17622</v>
      </c>
    </row>
    <row r="5457" spans="1:2" x14ac:dyDescent="0.25">
      <c r="A5457" s="57">
        <v>31291211</v>
      </c>
      <c r="B5457" s="58" t="s">
        <v>5129</v>
      </c>
    </row>
    <row r="5458" spans="1:2" x14ac:dyDescent="0.25">
      <c r="A5458" s="57">
        <v>31291212</v>
      </c>
      <c r="B5458" s="58" t="s">
        <v>7604</v>
      </c>
    </row>
    <row r="5459" spans="1:2" x14ac:dyDescent="0.25">
      <c r="A5459" s="57">
        <v>31291213</v>
      </c>
      <c r="B5459" s="58" t="s">
        <v>11821</v>
      </c>
    </row>
    <row r="5460" spans="1:2" x14ac:dyDescent="0.25">
      <c r="A5460" s="57">
        <v>31291214</v>
      </c>
      <c r="B5460" s="58" t="s">
        <v>103</v>
      </c>
    </row>
    <row r="5461" spans="1:2" x14ac:dyDescent="0.25">
      <c r="A5461" s="57">
        <v>31291215</v>
      </c>
      <c r="B5461" s="58" t="s">
        <v>9668</v>
      </c>
    </row>
    <row r="5462" spans="1:2" x14ac:dyDescent="0.25">
      <c r="A5462" s="57">
        <v>31291216</v>
      </c>
      <c r="B5462" s="58" t="s">
        <v>4232</v>
      </c>
    </row>
    <row r="5463" spans="1:2" x14ac:dyDescent="0.25">
      <c r="A5463" s="57">
        <v>31291217</v>
      </c>
      <c r="B5463" s="58" t="s">
        <v>6671</v>
      </c>
    </row>
    <row r="5464" spans="1:2" x14ac:dyDescent="0.25">
      <c r="A5464" s="57">
        <v>31291218</v>
      </c>
      <c r="B5464" s="58" t="s">
        <v>14696</v>
      </c>
    </row>
    <row r="5465" spans="1:2" x14ac:dyDescent="0.25">
      <c r="A5465" s="57">
        <v>31291219</v>
      </c>
      <c r="B5465" s="58" t="s">
        <v>12853</v>
      </c>
    </row>
    <row r="5466" spans="1:2" x14ac:dyDescent="0.25">
      <c r="A5466" s="57">
        <v>31291220</v>
      </c>
      <c r="B5466" s="58" t="s">
        <v>3836</v>
      </c>
    </row>
    <row r="5467" spans="1:2" x14ac:dyDescent="0.25">
      <c r="A5467" s="57">
        <v>31291301</v>
      </c>
      <c r="B5467" s="58" t="s">
        <v>16161</v>
      </c>
    </row>
    <row r="5468" spans="1:2" x14ac:dyDescent="0.25">
      <c r="A5468" s="57">
        <v>31291302</v>
      </c>
      <c r="B5468" s="58" t="s">
        <v>10967</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10263</v>
      </c>
    </row>
    <row r="5479" spans="1:2" x14ac:dyDescent="0.25">
      <c r="A5479" s="57">
        <v>31291313</v>
      </c>
      <c r="B5479" s="58" t="s">
        <v>3941</v>
      </c>
    </row>
    <row r="5480" spans="1:2" x14ac:dyDescent="0.25">
      <c r="A5480" s="57">
        <v>31291314</v>
      </c>
      <c r="B5480" s="58" t="s">
        <v>16744</v>
      </c>
    </row>
    <row r="5481" spans="1:2" x14ac:dyDescent="0.25">
      <c r="A5481" s="57">
        <v>31291315</v>
      </c>
      <c r="B5481" s="58" t="s">
        <v>10121</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9635</v>
      </c>
    </row>
    <row r="5488" spans="1:2" x14ac:dyDescent="0.25">
      <c r="A5488" s="57">
        <v>31291402</v>
      </c>
      <c r="B5488" s="58" t="s">
        <v>14702</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13052</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14766</v>
      </c>
    </row>
    <row r="5499" spans="1:2" x14ac:dyDescent="0.25">
      <c r="A5499" s="57">
        <v>31291413</v>
      </c>
      <c r="B5499" s="58" t="s">
        <v>11936</v>
      </c>
    </row>
    <row r="5500" spans="1:2" x14ac:dyDescent="0.25">
      <c r="A5500" s="57">
        <v>31291414</v>
      </c>
      <c r="B5500" s="58" t="s">
        <v>14339</v>
      </c>
    </row>
    <row r="5501" spans="1:2" x14ac:dyDescent="0.25">
      <c r="A5501" s="57">
        <v>31291415</v>
      </c>
      <c r="B5501" s="58" t="s">
        <v>17436</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14383</v>
      </c>
    </row>
    <row r="5507" spans="1:2" x14ac:dyDescent="0.25">
      <c r="A5507" s="57">
        <v>31301101</v>
      </c>
      <c r="B5507" s="58" t="s">
        <v>10779</v>
      </c>
    </row>
    <row r="5508" spans="1:2" x14ac:dyDescent="0.25">
      <c r="A5508" s="57">
        <v>31301102</v>
      </c>
      <c r="B5508" s="58" t="s">
        <v>10617</v>
      </c>
    </row>
    <row r="5509" spans="1:2" x14ac:dyDescent="0.25">
      <c r="A5509" s="57">
        <v>31301103</v>
      </c>
      <c r="B5509" s="58" t="s">
        <v>5455</v>
      </c>
    </row>
    <row r="5510" spans="1:2" x14ac:dyDescent="0.25">
      <c r="A5510" s="57">
        <v>31301104</v>
      </c>
      <c r="B5510" s="58" t="s">
        <v>311</v>
      </c>
    </row>
    <row r="5511" spans="1:2" x14ac:dyDescent="0.25">
      <c r="A5511" s="57">
        <v>31301105</v>
      </c>
      <c r="B5511" s="58" t="s">
        <v>11880</v>
      </c>
    </row>
    <row r="5512" spans="1:2" x14ac:dyDescent="0.25">
      <c r="A5512" s="57">
        <v>31301106</v>
      </c>
      <c r="B5512" s="58" t="s">
        <v>12670</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9732</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10591</v>
      </c>
    </row>
    <row r="5522" spans="1:2" x14ac:dyDescent="0.25">
      <c r="A5522" s="57">
        <v>31301116</v>
      </c>
      <c r="B5522" s="58" t="s">
        <v>2242</v>
      </c>
    </row>
    <row r="5523" spans="1:2" x14ac:dyDescent="0.25">
      <c r="A5523" s="57">
        <v>31301117</v>
      </c>
      <c r="B5523" s="58" t="s">
        <v>13821</v>
      </c>
    </row>
    <row r="5524" spans="1:2" x14ac:dyDescent="0.25">
      <c r="A5524" s="57">
        <v>31301118</v>
      </c>
      <c r="B5524" s="58" t="s">
        <v>4450</v>
      </c>
    </row>
    <row r="5525" spans="1:2" x14ac:dyDescent="0.25">
      <c r="A5525" s="57">
        <v>31301119</v>
      </c>
      <c r="B5525" s="58" t="s">
        <v>13301</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13473</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11483</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10346</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9198</v>
      </c>
    </row>
    <row r="5552" spans="1:2" x14ac:dyDescent="0.25">
      <c r="A5552" s="57">
        <v>31301308</v>
      </c>
      <c r="B5552" s="58" t="s">
        <v>18789</v>
      </c>
    </row>
    <row r="5553" spans="1:2" x14ac:dyDescent="0.25">
      <c r="A5553" s="57">
        <v>31301309</v>
      </c>
      <c r="B5553" s="58" t="s">
        <v>10207</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10190</v>
      </c>
    </row>
    <row r="5558" spans="1:2" x14ac:dyDescent="0.25">
      <c r="A5558" s="57">
        <v>31301314</v>
      </c>
      <c r="B5558" s="58" t="s">
        <v>1833</v>
      </c>
    </row>
    <row r="5559" spans="1:2" x14ac:dyDescent="0.25">
      <c r="A5559" s="57">
        <v>31301315</v>
      </c>
      <c r="B5559" s="58" t="s">
        <v>11185</v>
      </c>
    </row>
    <row r="5560" spans="1:2" x14ac:dyDescent="0.25">
      <c r="A5560" s="57">
        <v>31301316</v>
      </c>
      <c r="B5560" s="58" t="s">
        <v>699</v>
      </c>
    </row>
    <row r="5561" spans="1:2" x14ac:dyDescent="0.25">
      <c r="A5561" s="57">
        <v>31301317</v>
      </c>
      <c r="B5561" s="58" t="s">
        <v>12836</v>
      </c>
    </row>
    <row r="5562" spans="1:2" x14ac:dyDescent="0.25">
      <c r="A5562" s="57">
        <v>31301318</v>
      </c>
      <c r="B5562" s="58" t="s">
        <v>17193</v>
      </c>
    </row>
    <row r="5563" spans="1:2" x14ac:dyDescent="0.25">
      <c r="A5563" s="57">
        <v>31301319</v>
      </c>
      <c r="B5563" s="58" t="s">
        <v>12041</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11451</v>
      </c>
    </row>
    <row r="5569" spans="1:2" x14ac:dyDescent="0.25">
      <c r="A5569" s="57">
        <v>31301406</v>
      </c>
      <c r="B5569" s="58" t="s">
        <v>12768</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11225</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11017</v>
      </c>
    </row>
    <row r="5583" spans="1:2" x14ac:dyDescent="0.25">
      <c r="A5583" s="57">
        <v>31301501</v>
      </c>
      <c r="B5583" s="58" t="s">
        <v>14207</v>
      </c>
    </row>
    <row r="5584" spans="1:2" x14ac:dyDescent="0.25">
      <c r="A5584" s="57">
        <v>31301502</v>
      </c>
      <c r="B5584" s="58" t="s">
        <v>14196</v>
      </c>
    </row>
    <row r="5585" spans="1:2" x14ac:dyDescent="0.25">
      <c r="A5585" s="57">
        <v>31301503</v>
      </c>
      <c r="B5585" s="58" t="s">
        <v>12132</v>
      </c>
    </row>
    <row r="5586" spans="1:2" x14ac:dyDescent="0.25">
      <c r="A5586" s="57">
        <v>31301504</v>
      </c>
      <c r="B5586" s="58" t="s">
        <v>9906</v>
      </c>
    </row>
    <row r="5587" spans="1:2" x14ac:dyDescent="0.25">
      <c r="A5587" s="57">
        <v>31301505</v>
      </c>
      <c r="B5587" s="58" t="s">
        <v>4934</v>
      </c>
    </row>
    <row r="5588" spans="1:2" x14ac:dyDescent="0.25">
      <c r="A5588" s="57">
        <v>31301506</v>
      </c>
      <c r="B5588" s="58" t="s">
        <v>3456</v>
      </c>
    </row>
    <row r="5589" spans="1:2" x14ac:dyDescent="0.25">
      <c r="A5589" s="57">
        <v>31301507</v>
      </c>
      <c r="B5589" s="58" t="s">
        <v>13307</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12962</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14720</v>
      </c>
    </row>
    <row r="5606" spans="1:2" x14ac:dyDescent="0.25">
      <c r="A5606" s="57">
        <v>31311105</v>
      </c>
      <c r="B5606" s="58" t="s">
        <v>12864</v>
      </c>
    </row>
    <row r="5607" spans="1:2" x14ac:dyDescent="0.25">
      <c r="A5607" s="57">
        <v>31311106</v>
      </c>
      <c r="B5607" s="58" t="s">
        <v>7791</v>
      </c>
    </row>
    <row r="5608" spans="1:2" x14ac:dyDescent="0.25">
      <c r="A5608" s="57">
        <v>31311109</v>
      </c>
      <c r="B5608" s="58" t="s">
        <v>9713</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11244</v>
      </c>
    </row>
    <row r="5615" spans="1:2" x14ac:dyDescent="0.25">
      <c r="A5615" s="57">
        <v>31311203</v>
      </c>
      <c r="B5615" s="58" t="s">
        <v>11072</v>
      </c>
    </row>
    <row r="5616" spans="1:2" x14ac:dyDescent="0.25">
      <c r="A5616" s="57">
        <v>31311204</v>
      </c>
      <c r="B5616" s="58" t="s">
        <v>17064</v>
      </c>
    </row>
    <row r="5617" spans="1:2" x14ac:dyDescent="0.25">
      <c r="A5617" s="57">
        <v>31311205</v>
      </c>
      <c r="B5617" s="58" t="s">
        <v>15917</v>
      </c>
    </row>
    <row r="5618" spans="1:2" x14ac:dyDescent="0.25">
      <c r="A5618" s="57">
        <v>31311206</v>
      </c>
      <c r="B5618" s="58" t="s">
        <v>10092</v>
      </c>
    </row>
    <row r="5619" spans="1:2" x14ac:dyDescent="0.25">
      <c r="A5619" s="57">
        <v>31311209</v>
      </c>
      <c r="B5619" s="58" t="s">
        <v>9893</v>
      </c>
    </row>
    <row r="5620" spans="1:2" x14ac:dyDescent="0.25">
      <c r="A5620" s="57">
        <v>31311210</v>
      </c>
      <c r="B5620" s="58" t="s">
        <v>1992</v>
      </c>
    </row>
    <row r="5621" spans="1:2" x14ac:dyDescent="0.25">
      <c r="A5621" s="57">
        <v>31311211</v>
      </c>
      <c r="B5621" s="58" t="s">
        <v>12575</v>
      </c>
    </row>
    <row r="5622" spans="1:2" x14ac:dyDescent="0.25">
      <c r="A5622" s="57">
        <v>31311212</v>
      </c>
      <c r="B5622" s="58" t="s">
        <v>10830</v>
      </c>
    </row>
    <row r="5623" spans="1:2" x14ac:dyDescent="0.25">
      <c r="A5623" s="57">
        <v>31311213</v>
      </c>
      <c r="B5623" s="58" t="s">
        <v>6544</v>
      </c>
    </row>
    <row r="5624" spans="1:2" x14ac:dyDescent="0.25">
      <c r="A5624" s="57">
        <v>31311301</v>
      </c>
      <c r="B5624" s="58" t="s">
        <v>12039</v>
      </c>
    </row>
    <row r="5625" spans="1:2" x14ac:dyDescent="0.25">
      <c r="A5625" s="57">
        <v>31311302</v>
      </c>
      <c r="B5625" s="58" t="s">
        <v>17548</v>
      </c>
    </row>
    <row r="5626" spans="1:2" x14ac:dyDescent="0.25">
      <c r="A5626" s="57">
        <v>31311303</v>
      </c>
      <c r="B5626" s="58" t="s">
        <v>10280</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12594</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9809</v>
      </c>
    </row>
    <row r="5637" spans="1:2" x14ac:dyDescent="0.25">
      <c r="A5637" s="57">
        <v>31311403</v>
      </c>
      <c r="B5637" s="58" t="s">
        <v>9925</v>
      </c>
    </row>
    <row r="5638" spans="1:2" x14ac:dyDescent="0.25">
      <c r="A5638" s="57">
        <v>31311404</v>
      </c>
      <c r="B5638" s="58" t="s">
        <v>12690</v>
      </c>
    </row>
    <row r="5639" spans="1:2" x14ac:dyDescent="0.25">
      <c r="A5639" s="57">
        <v>31311405</v>
      </c>
      <c r="B5639" s="58" t="s">
        <v>12738</v>
      </c>
    </row>
    <row r="5640" spans="1:2" x14ac:dyDescent="0.25">
      <c r="A5640" s="57">
        <v>31311406</v>
      </c>
      <c r="B5640" s="58" t="s">
        <v>16127</v>
      </c>
    </row>
    <row r="5641" spans="1:2" x14ac:dyDescent="0.25">
      <c r="A5641" s="57">
        <v>31311409</v>
      </c>
      <c r="B5641" s="58" t="s">
        <v>3783</v>
      </c>
    </row>
    <row r="5642" spans="1:2" x14ac:dyDescent="0.25">
      <c r="A5642" s="57">
        <v>31311410</v>
      </c>
      <c r="B5642" s="58" t="s">
        <v>12931</v>
      </c>
    </row>
    <row r="5643" spans="1:2" x14ac:dyDescent="0.25">
      <c r="A5643" s="57">
        <v>31311411</v>
      </c>
      <c r="B5643" s="58" t="s">
        <v>4340</v>
      </c>
    </row>
    <row r="5644" spans="1:2" x14ac:dyDescent="0.25">
      <c r="A5644" s="57">
        <v>31311412</v>
      </c>
      <c r="B5644" s="58" t="s">
        <v>9726</v>
      </c>
    </row>
    <row r="5645" spans="1:2" x14ac:dyDescent="0.25">
      <c r="A5645" s="57">
        <v>31311413</v>
      </c>
      <c r="B5645" s="58" t="s">
        <v>17916</v>
      </c>
    </row>
    <row r="5646" spans="1:2" x14ac:dyDescent="0.25">
      <c r="A5646" s="57">
        <v>31311501</v>
      </c>
      <c r="B5646" s="58" t="s">
        <v>11580</v>
      </c>
    </row>
    <row r="5647" spans="1:2" x14ac:dyDescent="0.25">
      <c r="A5647" s="57">
        <v>31311502</v>
      </c>
      <c r="B5647" s="58" t="s">
        <v>9542</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12435</v>
      </c>
    </row>
    <row r="5652" spans="1:2" x14ac:dyDescent="0.25">
      <c r="A5652" s="57">
        <v>31311509</v>
      </c>
      <c r="B5652" s="58" t="s">
        <v>6582</v>
      </c>
    </row>
    <row r="5653" spans="1:2" x14ac:dyDescent="0.25">
      <c r="A5653" s="57">
        <v>31311510</v>
      </c>
      <c r="B5653" s="58" t="s">
        <v>16989</v>
      </c>
    </row>
    <row r="5654" spans="1:2" x14ac:dyDescent="0.25">
      <c r="A5654" s="57">
        <v>31311511</v>
      </c>
      <c r="B5654" s="58" t="s">
        <v>17258</v>
      </c>
    </row>
    <row r="5655" spans="1:2" x14ac:dyDescent="0.25">
      <c r="A5655" s="57">
        <v>31311512</v>
      </c>
      <c r="B5655" s="58" t="s">
        <v>10927</v>
      </c>
    </row>
    <row r="5656" spans="1:2" x14ac:dyDescent="0.25">
      <c r="A5656" s="57">
        <v>31311513</v>
      </c>
      <c r="B5656" s="58" t="s">
        <v>4981</v>
      </c>
    </row>
    <row r="5657" spans="1:2" x14ac:dyDescent="0.25">
      <c r="A5657" s="57">
        <v>31311601</v>
      </c>
      <c r="B5657" s="58" t="s">
        <v>13499</v>
      </c>
    </row>
    <row r="5658" spans="1:2" x14ac:dyDescent="0.25">
      <c r="A5658" s="57">
        <v>31311602</v>
      </c>
      <c r="B5658" s="58" t="s">
        <v>8856</v>
      </c>
    </row>
    <row r="5659" spans="1:2" x14ac:dyDescent="0.25">
      <c r="A5659" s="57">
        <v>31311603</v>
      </c>
      <c r="B5659" s="58" t="s">
        <v>13236</v>
      </c>
    </row>
    <row r="5660" spans="1:2" x14ac:dyDescent="0.25">
      <c r="A5660" s="57">
        <v>31311604</v>
      </c>
      <c r="B5660" s="58" t="s">
        <v>2471</v>
      </c>
    </row>
    <row r="5661" spans="1:2" x14ac:dyDescent="0.25">
      <c r="A5661" s="57">
        <v>31311605</v>
      </c>
      <c r="B5661" s="58" t="s">
        <v>13796</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10074</v>
      </c>
    </row>
    <row r="5666" spans="1:2" x14ac:dyDescent="0.25">
      <c r="A5666" s="57">
        <v>31311612</v>
      </c>
      <c r="B5666" s="58" t="s">
        <v>15580</v>
      </c>
    </row>
    <row r="5667" spans="1:2" x14ac:dyDescent="0.25">
      <c r="A5667" s="57">
        <v>31311613</v>
      </c>
      <c r="B5667" s="58" t="s">
        <v>11652</v>
      </c>
    </row>
    <row r="5668" spans="1:2" x14ac:dyDescent="0.25">
      <c r="A5668" s="57">
        <v>31311701</v>
      </c>
      <c r="B5668" s="58" t="s">
        <v>12572</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10177</v>
      </c>
    </row>
    <row r="5681" spans="1:2" x14ac:dyDescent="0.25">
      <c r="A5681" s="57">
        <v>31321103</v>
      </c>
      <c r="B5681" s="58" t="s">
        <v>7594</v>
      </c>
    </row>
    <row r="5682" spans="1:2" x14ac:dyDescent="0.25">
      <c r="A5682" s="57">
        <v>31321104</v>
      </c>
      <c r="B5682" s="58" t="s">
        <v>6811</v>
      </c>
    </row>
    <row r="5683" spans="1:2" x14ac:dyDescent="0.25">
      <c r="A5683" s="57">
        <v>31321105</v>
      </c>
      <c r="B5683" s="58" t="s">
        <v>14316</v>
      </c>
    </row>
    <row r="5684" spans="1:2" x14ac:dyDescent="0.25">
      <c r="A5684" s="57">
        <v>31321106</v>
      </c>
      <c r="B5684" s="58" t="s">
        <v>10956</v>
      </c>
    </row>
    <row r="5685" spans="1:2" x14ac:dyDescent="0.25">
      <c r="A5685" s="57">
        <v>31321109</v>
      </c>
      <c r="B5685" s="58" t="s">
        <v>18154</v>
      </c>
    </row>
    <row r="5686" spans="1:2" x14ac:dyDescent="0.25">
      <c r="A5686" s="57">
        <v>31321110</v>
      </c>
      <c r="B5686" s="58" t="s">
        <v>10975</v>
      </c>
    </row>
    <row r="5687" spans="1:2" x14ac:dyDescent="0.25">
      <c r="A5687" s="57">
        <v>31321111</v>
      </c>
      <c r="B5687" s="58" t="s">
        <v>10315</v>
      </c>
    </row>
    <row r="5688" spans="1:2" x14ac:dyDescent="0.25">
      <c r="A5688" s="57">
        <v>31321112</v>
      </c>
      <c r="B5688" s="58" t="s">
        <v>9529</v>
      </c>
    </row>
    <row r="5689" spans="1:2" x14ac:dyDescent="0.25">
      <c r="A5689" s="57">
        <v>31321113</v>
      </c>
      <c r="B5689" s="58" t="s">
        <v>13726</v>
      </c>
    </row>
    <row r="5690" spans="1:2" x14ac:dyDescent="0.25">
      <c r="A5690" s="57">
        <v>31321201</v>
      </c>
      <c r="B5690" s="58" t="s">
        <v>1879</v>
      </c>
    </row>
    <row r="5691" spans="1:2" x14ac:dyDescent="0.25">
      <c r="A5691" s="57">
        <v>31321202</v>
      </c>
      <c r="B5691" s="58" t="s">
        <v>4463</v>
      </c>
    </row>
    <row r="5692" spans="1:2" x14ac:dyDescent="0.25">
      <c r="A5692" s="57">
        <v>31321203</v>
      </c>
      <c r="B5692" s="58" t="s">
        <v>10115</v>
      </c>
    </row>
    <row r="5693" spans="1:2" x14ac:dyDescent="0.25">
      <c r="A5693" s="57">
        <v>31321204</v>
      </c>
      <c r="B5693" s="58" t="s">
        <v>5761</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17557</v>
      </c>
    </row>
    <row r="5708" spans="1:2" x14ac:dyDescent="0.25">
      <c r="A5708" s="57">
        <v>31321310</v>
      </c>
      <c r="B5708" s="58" t="s">
        <v>4546</v>
      </c>
    </row>
    <row r="5709" spans="1:2" x14ac:dyDescent="0.25">
      <c r="A5709" s="57">
        <v>31321311</v>
      </c>
      <c r="B5709" s="58" t="s">
        <v>12269</v>
      </c>
    </row>
    <row r="5710" spans="1:2" x14ac:dyDescent="0.25">
      <c r="A5710" s="57">
        <v>31321312</v>
      </c>
      <c r="B5710" s="58" t="s">
        <v>8279</v>
      </c>
    </row>
    <row r="5711" spans="1:2" x14ac:dyDescent="0.25">
      <c r="A5711" s="57">
        <v>31321313</v>
      </c>
      <c r="B5711" s="58" t="s">
        <v>7373</v>
      </c>
    </row>
    <row r="5712" spans="1:2" x14ac:dyDescent="0.25">
      <c r="A5712" s="57">
        <v>31321401</v>
      </c>
      <c r="B5712" s="58" t="s">
        <v>13245</v>
      </c>
    </row>
    <row r="5713" spans="1:2" x14ac:dyDescent="0.25">
      <c r="A5713" s="57">
        <v>31321402</v>
      </c>
      <c r="B5713" s="58" t="s">
        <v>2714</v>
      </c>
    </row>
    <row r="5714" spans="1:2" x14ac:dyDescent="0.25">
      <c r="A5714" s="57">
        <v>31321403</v>
      </c>
      <c r="B5714" s="58" t="s">
        <v>1862</v>
      </c>
    </row>
    <row r="5715" spans="1:2" x14ac:dyDescent="0.25">
      <c r="A5715" s="57">
        <v>31321404</v>
      </c>
      <c r="B5715" s="58" t="s">
        <v>10536</v>
      </c>
    </row>
    <row r="5716" spans="1:2" x14ac:dyDescent="0.25">
      <c r="A5716" s="57">
        <v>31321405</v>
      </c>
      <c r="B5716" s="58" t="s">
        <v>11043</v>
      </c>
    </row>
    <row r="5717" spans="1:2" x14ac:dyDescent="0.25">
      <c r="A5717" s="57">
        <v>31321406</v>
      </c>
      <c r="B5717" s="58" t="s">
        <v>12172</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12537</v>
      </c>
    </row>
    <row r="5722" spans="1:2" x14ac:dyDescent="0.25">
      <c r="A5722" s="57">
        <v>31321413</v>
      </c>
      <c r="B5722" s="58" t="s">
        <v>9291</v>
      </c>
    </row>
    <row r="5723" spans="1:2" x14ac:dyDescent="0.25">
      <c r="A5723" s="57">
        <v>31321501</v>
      </c>
      <c r="B5723" s="58" t="s">
        <v>2337</v>
      </c>
    </row>
    <row r="5724" spans="1:2" x14ac:dyDescent="0.25">
      <c r="A5724" s="57">
        <v>31321502</v>
      </c>
      <c r="B5724" s="58" t="s">
        <v>9727</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17242</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9945</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17693</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12416</v>
      </c>
    </row>
    <row r="5742" spans="1:2" x14ac:dyDescent="0.25">
      <c r="A5742" s="57">
        <v>31321611</v>
      </c>
      <c r="B5742" s="58" t="s">
        <v>4183</v>
      </c>
    </row>
    <row r="5743" spans="1:2" x14ac:dyDescent="0.25">
      <c r="A5743" s="57">
        <v>31321612</v>
      </c>
      <c r="B5743" s="58" t="s">
        <v>14775</v>
      </c>
    </row>
    <row r="5744" spans="1:2" x14ac:dyDescent="0.25">
      <c r="A5744" s="57">
        <v>31321613</v>
      </c>
      <c r="B5744" s="58" t="s">
        <v>10535</v>
      </c>
    </row>
    <row r="5745" spans="1:2" x14ac:dyDescent="0.25">
      <c r="A5745" s="57">
        <v>31321701</v>
      </c>
      <c r="B5745" s="58" t="s">
        <v>8097</v>
      </c>
    </row>
    <row r="5746" spans="1:2" x14ac:dyDescent="0.25">
      <c r="A5746" s="57">
        <v>31321702</v>
      </c>
      <c r="B5746" s="58" t="s">
        <v>17649</v>
      </c>
    </row>
    <row r="5747" spans="1:2" x14ac:dyDescent="0.25">
      <c r="A5747" s="57">
        <v>31321703</v>
      </c>
      <c r="B5747" s="58" t="s">
        <v>5587</v>
      </c>
    </row>
    <row r="5748" spans="1:2" x14ac:dyDescent="0.25">
      <c r="A5748" s="57">
        <v>31321704</v>
      </c>
      <c r="B5748" s="58" t="s">
        <v>11437</v>
      </c>
    </row>
    <row r="5749" spans="1:2" x14ac:dyDescent="0.25">
      <c r="A5749" s="57">
        <v>31321705</v>
      </c>
      <c r="B5749" s="58" t="s">
        <v>12174</v>
      </c>
    </row>
    <row r="5750" spans="1:2" x14ac:dyDescent="0.25">
      <c r="A5750" s="57">
        <v>31321706</v>
      </c>
      <c r="B5750" s="58" t="s">
        <v>12852</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11887</v>
      </c>
    </row>
    <row r="5761" spans="1:2" x14ac:dyDescent="0.25">
      <c r="A5761" s="57">
        <v>31331106</v>
      </c>
      <c r="B5761" s="58" t="s">
        <v>4153</v>
      </c>
    </row>
    <row r="5762" spans="1:2" x14ac:dyDescent="0.25">
      <c r="A5762" s="57">
        <v>31331109</v>
      </c>
      <c r="B5762" s="58" t="s">
        <v>8874</v>
      </c>
    </row>
    <row r="5763" spans="1:2" x14ac:dyDescent="0.25">
      <c r="A5763" s="57">
        <v>31331110</v>
      </c>
      <c r="B5763" s="58" t="s">
        <v>14717</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10088</v>
      </c>
    </row>
    <row r="5770" spans="1:2" x14ac:dyDescent="0.25">
      <c r="A5770" s="57">
        <v>31331204</v>
      </c>
      <c r="B5770" s="58" t="s">
        <v>4404</v>
      </c>
    </row>
    <row r="5771" spans="1:2" x14ac:dyDescent="0.25">
      <c r="A5771" s="57">
        <v>31331205</v>
      </c>
      <c r="B5771" s="58" t="s">
        <v>12256</v>
      </c>
    </row>
    <row r="5772" spans="1:2" x14ac:dyDescent="0.25">
      <c r="A5772" s="57">
        <v>31331206</v>
      </c>
      <c r="B5772" s="58" t="s">
        <v>10869</v>
      </c>
    </row>
    <row r="5773" spans="1:2" x14ac:dyDescent="0.25">
      <c r="A5773" s="57">
        <v>31331209</v>
      </c>
      <c r="B5773" s="58" t="s">
        <v>11783</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10444</v>
      </c>
    </row>
    <row r="5780" spans="1:2" x14ac:dyDescent="0.25">
      <c r="A5780" s="57">
        <v>31331303</v>
      </c>
      <c r="B5780" s="58" t="s">
        <v>14882</v>
      </c>
    </row>
    <row r="5781" spans="1:2" x14ac:dyDescent="0.25">
      <c r="A5781" s="57">
        <v>31331304</v>
      </c>
      <c r="B5781" s="58" t="s">
        <v>11797</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13214</v>
      </c>
    </row>
    <row r="5787" spans="1:2" x14ac:dyDescent="0.25">
      <c r="A5787" s="57">
        <v>31331312</v>
      </c>
      <c r="B5787" s="58" t="s">
        <v>2427</v>
      </c>
    </row>
    <row r="5788" spans="1:2" x14ac:dyDescent="0.25">
      <c r="A5788" s="57">
        <v>31331313</v>
      </c>
      <c r="B5788" s="58" t="s">
        <v>18801</v>
      </c>
    </row>
    <row r="5789" spans="1:2" x14ac:dyDescent="0.25">
      <c r="A5789" s="57">
        <v>31331401</v>
      </c>
      <c r="B5789" s="58" t="s">
        <v>12359</v>
      </c>
    </row>
    <row r="5790" spans="1:2" x14ac:dyDescent="0.25">
      <c r="A5790" s="57">
        <v>31331402</v>
      </c>
      <c r="B5790" s="58" t="s">
        <v>11326</v>
      </c>
    </row>
    <row r="5791" spans="1:2" x14ac:dyDescent="0.25">
      <c r="A5791" s="57">
        <v>31331403</v>
      </c>
      <c r="B5791" s="58" t="s">
        <v>11352</v>
      </c>
    </row>
    <row r="5792" spans="1:2" x14ac:dyDescent="0.25">
      <c r="A5792" s="57">
        <v>31331404</v>
      </c>
      <c r="B5792" s="58" t="s">
        <v>18811</v>
      </c>
    </row>
    <row r="5793" spans="1:2" x14ac:dyDescent="0.25">
      <c r="A5793" s="57">
        <v>31331405</v>
      </c>
      <c r="B5793" s="58" t="s">
        <v>2708</v>
      </c>
    </row>
    <row r="5794" spans="1:2" x14ac:dyDescent="0.25">
      <c r="A5794" s="57">
        <v>31331406</v>
      </c>
      <c r="B5794" s="58" t="s">
        <v>9851</v>
      </c>
    </row>
    <row r="5795" spans="1:2" x14ac:dyDescent="0.25">
      <c r="A5795" s="57">
        <v>31331409</v>
      </c>
      <c r="B5795" s="58" t="s">
        <v>12235</v>
      </c>
    </row>
    <row r="5796" spans="1:2" x14ac:dyDescent="0.25">
      <c r="A5796" s="57">
        <v>31331410</v>
      </c>
      <c r="B5796" s="58" t="s">
        <v>6919</v>
      </c>
    </row>
    <row r="5797" spans="1:2" x14ac:dyDescent="0.25">
      <c r="A5797" s="57">
        <v>31331411</v>
      </c>
      <c r="B5797" s="58" t="s">
        <v>15933</v>
      </c>
    </row>
    <row r="5798" spans="1:2" x14ac:dyDescent="0.25">
      <c r="A5798" s="57">
        <v>31331412</v>
      </c>
      <c r="B5798" s="58" t="s">
        <v>11513</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7728</v>
      </c>
    </row>
    <row r="5803" spans="1:2" x14ac:dyDescent="0.25">
      <c r="A5803" s="57">
        <v>31331504</v>
      </c>
      <c r="B5803" s="58" t="s">
        <v>17607</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8075</v>
      </c>
    </row>
    <row r="5813" spans="1:2" x14ac:dyDescent="0.25">
      <c r="A5813" s="57">
        <v>31331603</v>
      </c>
      <c r="B5813" s="58" t="s">
        <v>13184</v>
      </c>
    </row>
    <row r="5814" spans="1:2" x14ac:dyDescent="0.25">
      <c r="A5814" s="57">
        <v>31331604</v>
      </c>
      <c r="B5814" s="58" t="s">
        <v>903</v>
      </c>
    </row>
    <row r="5815" spans="1:2" x14ac:dyDescent="0.25">
      <c r="A5815" s="57">
        <v>31331605</v>
      </c>
      <c r="B5815" s="58" t="s">
        <v>12466</v>
      </c>
    </row>
    <row r="5816" spans="1:2" x14ac:dyDescent="0.25">
      <c r="A5816" s="57">
        <v>31331606</v>
      </c>
      <c r="B5816" s="58" t="s">
        <v>9134</v>
      </c>
    </row>
    <row r="5817" spans="1:2" x14ac:dyDescent="0.25">
      <c r="A5817" s="57">
        <v>31331609</v>
      </c>
      <c r="B5817" s="58" t="s">
        <v>14080</v>
      </c>
    </row>
    <row r="5818" spans="1:2" x14ac:dyDescent="0.25">
      <c r="A5818" s="57">
        <v>31331610</v>
      </c>
      <c r="B5818" s="58" t="s">
        <v>7584</v>
      </c>
    </row>
    <row r="5819" spans="1:2" x14ac:dyDescent="0.25">
      <c r="A5819" s="57">
        <v>31331611</v>
      </c>
      <c r="B5819" s="58" t="s">
        <v>11595</v>
      </c>
    </row>
    <row r="5820" spans="1:2" x14ac:dyDescent="0.25">
      <c r="A5820" s="57">
        <v>31331612</v>
      </c>
      <c r="B5820" s="58" t="s">
        <v>13476</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11145</v>
      </c>
    </row>
    <row r="5832" spans="1:2" x14ac:dyDescent="0.25">
      <c r="A5832" s="57">
        <v>31331713</v>
      </c>
      <c r="B5832" s="58" t="s">
        <v>12502</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10759</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4834</v>
      </c>
    </row>
    <row r="5843" spans="1:2" x14ac:dyDescent="0.25">
      <c r="A5843" s="57">
        <v>31341113</v>
      </c>
      <c r="B5843" s="58" t="s">
        <v>12899</v>
      </c>
    </row>
    <row r="5844" spans="1:2" x14ac:dyDescent="0.25">
      <c r="A5844" s="57">
        <v>31341201</v>
      </c>
      <c r="B5844" s="58" t="s">
        <v>8153</v>
      </c>
    </row>
    <row r="5845" spans="1:2" x14ac:dyDescent="0.25">
      <c r="A5845" s="57">
        <v>31341202</v>
      </c>
      <c r="B5845" s="58" t="s">
        <v>1840</v>
      </c>
    </row>
    <row r="5846" spans="1:2" x14ac:dyDescent="0.25">
      <c r="A5846" s="57">
        <v>31341203</v>
      </c>
      <c r="B5846" s="58" t="s">
        <v>12705</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14524</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12991</v>
      </c>
    </row>
    <row r="5856" spans="1:2" x14ac:dyDescent="0.25">
      <c r="A5856" s="57">
        <v>31341302</v>
      </c>
      <c r="B5856" s="58" t="s">
        <v>17123</v>
      </c>
    </row>
    <row r="5857" spans="1:2" x14ac:dyDescent="0.25">
      <c r="A5857" s="57">
        <v>31341303</v>
      </c>
      <c r="B5857" s="58" t="s">
        <v>11416</v>
      </c>
    </row>
    <row r="5858" spans="1:2" x14ac:dyDescent="0.25">
      <c r="A5858" s="57">
        <v>31341304</v>
      </c>
      <c r="B5858" s="58" t="s">
        <v>411</v>
      </c>
    </row>
    <row r="5859" spans="1:2" x14ac:dyDescent="0.25">
      <c r="A5859" s="57">
        <v>31341305</v>
      </c>
      <c r="B5859" s="58" t="s">
        <v>11536</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13338</v>
      </c>
    </row>
    <row r="5867" spans="1:2" x14ac:dyDescent="0.25">
      <c r="A5867" s="57">
        <v>31341402</v>
      </c>
      <c r="B5867" s="58" t="s">
        <v>10783</v>
      </c>
    </row>
    <row r="5868" spans="1:2" x14ac:dyDescent="0.25">
      <c r="A5868" s="57">
        <v>31341403</v>
      </c>
      <c r="B5868" s="58" t="s">
        <v>15741</v>
      </c>
    </row>
    <row r="5869" spans="1:2" x14ac:dyDescent="0.25">
      <c r="A5869" s="57">
        <v>31341404</v>
      </c>
      <c r="B5869" s="58" t="s">
        <v>11676</v>
      </c>
    </row>
    <row r="5870" spans="1:2" x14ac:dyDescent="0.25">
      <c r="A5870" s="57">
        <v>31341405</v>
      </c>
      <c r="B5870" s="58" t="s">
        <v>10552</v>
      </c>
    </row>
    <row r="5871" spans="1:2" x14ac:dyDescent="0.25">
      <c r="A5871" s="57">
        <v>31341406</v>
      </c>
      <c r="B5871" s="58" t="s">
        <v>10623</v>
      </c>
    </row>
    <row r="5872" spans="1:2" x14ac:dyDescent="0.25">
      <c r="A5872" s="57">
        <v>31341409</v>
      </c>
      <c r="B5872" s="58" t="s">
        <v>13277</v>
      </c>
    </row>
    <row r="5873" spans="1:2" x14ac:dyDescent="0.25">
      <c r="A5873" s="57">
        <v>31341410</v>
      </c>
      <c r="B5873" s="58" t="s">
        <v>9667</v>
      </c>
    </row>
    <row r="5874" spans="1:2" x14ac:dyDescent="0.25">
      <c r="A5874" s="57">
        <v>31341411</v>
      </c>
      <c r="B5874" s="58" t="s">
        <v>7621</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11946</v>
      </c>
    </row>
    <row r="5881" spans="1:2" x14ac:dyDescent="0.25">
      <c r="A5881" s="57">
        <v>31341505</v>
      </c>
      <c r="B5881" s="58" t="s">
        <v>17828</v>
      </c>
    </row>
    <row r="5882" spans="1:2" x14ac:dyDescent="0.25">
      <c r="A5882" s="57">
        <v>31341506</v>
      </c>
      <c r="B5882" s="58" t="s">
        <v>9500</v>
      </c>
    </row>
    <row r="5883" spans="1:2" x14ac:dyDescent="0.25">
      <c r="A5883" s="57">
        <v>31341509</v>
      </c>
      <c r="B5883" s="58" t="s">
        <v>11962</v>
      </c>
    </row>
    <row r="5884" spans="1:2" x14ac:dyDescent="0.25">
      <c r="A5884" s="57">
        <v>31341510</v>
      </c>
      <c r="B5884" s="58" t="s">
        <v>15276</v>
      </c>
    </row>
    <row r="5885" spans="1:2" x14ac:dyDescent="0.25">
      <c r="A5885" s="57">
        <v>31341511</v>
      </c>
      <c r="B5885" s="58" t="s">
        <v>13102</v>
      </c>
    </row>
    <row r="5886" spans="1:2" x14ac:dyDescent="0.25">
      <c r="A5886" s="57">
        <v>31341512</v>
      </c>
      <c r="B5886" s="58" t="s">
        <v>10654</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13534</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10447</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4628</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9127</v>
      </c>
    </row>
    <row r="5917" spans="1:2" x14ac:dyDescent="0.25">
      <c r="A5917" s="57">
        <v>31351110</v>
      </c>
      <c r="B5917" s="58" t="s">
        <v>14248</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11390</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11382</v>
      </c>
    </row>
    <row r="5928" spans="1:2" x14ac:dyDescent="0.25">
      <c r="A5928" s="57">
        <v>31351210</v>
      </c>
      <c r="B5928" s="58" t="s">
        <v>12774</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7882</v>
      </c>
    </row>
    <row r="5937" spans="1:2" x14ac:dyDescent="0.25">
      <c r="A5937" s="57">
        <v>31351306</v>
      </c>
      <c r="B5937" s="58" t="s">
        <v>11003</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13415</v>
      </c>
    </row>
    <row r="5942" spans="1:2" x14ac:dyDescent="0.25">
      <c r="A5942" s="57">
        <v>31351313</v>
      </c>
      <c r="B5942" s="58" t="s">
        <v>14185</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11070</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11202</v>
      </c>
    </row>
    <row r="5963" spans="1:2" x14ac:dyDescent="0.25">
      <c r="A5963" s="57">
        <v>31351512</v>
      </c>
      <c r="B5963" s="58" t="s">
        <v>7709</v>
      </c>
    </row>
    <row r="5964" spans="1:2" x14ac:dyDescent="0.25">
      <c r="A5964" s="57">
        <v>31351513</v>
      </c>
      <c r="B5964" s="58" t="s">
        <v>6063</v>
      </c>
    </row>
    <row r="5965" spans="1:2" x14ac:dyDescent="0.25">
      <c r="A5965" s="57">
        <v>31351601</v>
      </c>
      <c r="B5965" s="58" t="s">
        <v>1611</v>
      </c>
    </row>
    <row r="5966" spans="1:2" x14ac:dyDescent="0.25">
      <c r="A5966" s="57">
        <v>31351602</v>
      </c>
      <c r="B5966" s="58" t="s">
        <v>5508</v>
      </c>
    </row>
    <row r="5967" spans="1:2" x14ac:dyDescent="0.25">
      <c r="A5967" s="57">
        <v>31351603</v>
      </c>
      <c r="B5967" s="58" t="s">
        <v>17809</v>
      </c>
    </row>
    <row r="5968" spans="1:2" x14ac:dyDescent="0.25">
      <c r="A5968" s="57">
        <v>31351604</v>
      </c>
      <c r="B5968" s="58" t="s">
        <v>12296</v>
      </c>
    </row>
    <row r="5969" spans="1:2" x14ac:dyDescent="0.25">
      <c r="A5969" s="57">
        <v>31351605</v>
      </c>
      <c r="B5969" s="58" t="s">
        <v>15196</v>
      </c>
    </row>
    <row r="5970" spans="1:2" x14ac:dyDescent="0.25">
      <c r="A5970" s="57">
        <v>31351606</v>
      </c>
      <c r="B5970" s="58" t="s">
        <v>10125</v>
      </c>
    </row>
    <row r="5971" spans="1:2" x14ac:dyDescent="0.25">
      <c r="A5971" s="57">
        <v>31351609</v>
      </c>
      <c r="B5971" s="58" t="s">
        <v>9229</v>
      </c>
    </row>
    <row r="5972" spans="1:2" x14ac:dyDescent="0.25">
      <c r="A5972" s="57">
        <v>31351610</v>
      </c>
      <c r="B5972" s="58" t="s">
        <v>1967</v>
      </c>
    </row>
    <row r="5973" spans="1:2" x14ac:dyDescent="0.25">
      <c r="A5973" s="57">
        <v>31351611</v>
      </c>
      <c r="B5973" s="58" t="s">
        <v>10589</v>
      </c>
    </row>
    <row r="5974" spans="1:2" x14ac:dyDescent="0.25">
      <c r="A5974" s="57">
        <v>31351612</v>
      </c>
      <c r="B5974" s="58" t="s">
        <v>8100</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12757</v>
      </c>
    </row>
    <row r="5980" spans="1:2" x14ac:dyDescent="0.25">
      <c r="A5980" s="57">
        <v>31351705</v>
      </c>
      <c r="B5980" s="58" t="s">
        <v>7943</v>
      </c>
    </row>
    <row r="5981" spans="1:2" x14ac:dyDescent="0.25">
      <c r="A5981" s="57">
        <v>31351706</v>
      </c>
      <c r="B5981" s="58" t="s">
        <v>14295</v>
      </c>
    </row>
    <row r="5982" spans="1:2" x14ac:dyDescent="0.25">
      <c r="A5982" s="57">
        <v>31351709</v>
      </c>
      <c r="B5982" s="58" t="s">
        <v>8517</v>
      </c>
    </row>
    <row r="5983" spans="1:2" x14ac:dyDescent="0.25">
      <c r="A5983" s="57">
        <v>31351710</v>
      </c>
      <c r="B5983" s="58" t="s">
        <v>9988</v>
      </c>
    </row>
    <row r="5984" spans="1:2" x14ac:dyDescent="0.25">
      <c r="A5984" s="57">
        <v>31351711</v>
      </c>
      <c r="B5984" s="58" t="s">
        <v>18378</v>
      </c>
    </row>
    <row r="5985" spans="1:2" x14ac:dyDescent="0.25">
      <c r="A5985" s="57">
        <v>31351712</v>
      </c>
      <c r="B5985" s="58" t="s">
        <v>93</v>
      </c>
    </row>
    <row r="5986" spans="1:2" x14ac:dyDescent="0.25">
      <c r="A5986" s="57">
        <v>31351713</v>
      </c>
      <c r="B5986" s="58" t="s">
        <v>11947</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10348</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9631</v>
      </c>
    </row>
    <row r="5998" spans="1:2" x14ac:dyDescent="0.25">
      <c r="A5998" s="57">
        <v>31361201</v>
      </c>
      <c r="B5998" s="58" t="s">
        <v>12003</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11883</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13242</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14408</v>
      </c>
    </row>
    <row r="6016" spans="1:2" x14ac:dyDescent="0.25">
      <c r="A6016" s="57">
        <v>31361310</v>
      </c>
      <c r="B6016" s="58" t="s">
        <v>10560</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12411</v>
      </c>
    </row>
    <row r="6025" spans="1:2" x14ac:dyDescent="0.25">
      <c r="A6025" s="57">
        <v>31361406</v>
      </c>
      <c r="B6025" s="58" t="s">
        <v>8223</v>
      </c>
    </row>
    <row r="6026" spans="1:2" x14ac:dyDescent="0.25">
      <c r="A6026" s="57">
        <v>31361409</v>
      </c>
      <c r="B6026" s="58" t="s">
        <v>14144</v>
      </c>
    </row>
    <row r="6027" spans="1:2" x14ac:dyDescent="0.25">
      <c r="A6027" s="57">
        <v>31361410</v>
      </c>
      <c r="B6027" s="58" t="s">
        <v>13076</v>
      </c>
    </row>
    <row r="6028" spans="1:2" x14ac:dyDescent="0.25">
      <c r="A6028" s="57">
        <v>31361411</v>
      </c>
      <c r="B6028" s="58" t="s">
        <v>7178</v>
      </c>
    </row>
    <row r="6029" spans="1:2" x14ac:dyDescent="0.25">
      <c r="A6029" s="57">
        <v>31361412</v>
      </c>
      <c r="B6029" s="58" t="s">
        <v>10305</v>
      </c>
    </row>
    <row r="6030" spans="1:2" x14ac:dyDescent="0.25">
      <c r="A6030" s="57">
        <v>31361413</v>
      </c>
      <c r="B6030" s="58" t="s">
        <v>10264</v>
      </c>
    </row>
    <row r="6031" spans="1:2" x14ac:dyDescent="0.25">
      <c r="A6031" s="57">
        <v>31361501</v>
      </c>
      <c r="B6031" s="58" t="s">
        <v>6357</v>
      </c>
    </row>
    <row r="6032" spans="1:2" x14ac:dyDescent="0.25">
      <c r="A6032" s="57">
        <v>31361502</v>
      </c>
      <c r="B6032" s="58" t="s">
        <v>11758</v>
      </c>
    </row>
    <row r="6033" spans="1:2" x14ac:dyDescent="0.25">
      <c r="A6033" s="57">
        <v>31361503</v>
      </c>
      <c r="B6033" s="58" t="s">
        <v>10954</v>
      </c>
    </row>
    <row r="6034" spans="1:2" x14ac:dyDescent="0.25">
      <c r="A6034" s="57">
        <v>31361504</v>
      </c>
      <c r="B6034" s="58" t="s">
        <v>5319</v>
      </c>
    </row>
    <row r="6035" spans="1:2" x14ac:dyDescent="0.25">
      <c r="A6035" s="57">
        <v>31361505</v>
      </c>
      <c r="B6035" s="58" t="s">
        <v>10257</v>
      </c>
    </row>
    <row r="6036" spans="1:2" x14ac:dyDescent="0.25">
      <c r="A6036" s="57">
        <v>31361506</v>
      </c>
      <c r="B6036" s="58" t="s">
        <v>10812</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9467</v>
      </c>
    </row>
    <row r="6045" spans="1:2" x14ac:dyDescent="0.25">
      <c r="A6045" s="57">
        <v>31361604</v>
      </c>
      <c r="B6045" s="58" t="s">
        <v>6626</v>
      </c>
    </row>
    <row r="6046" spans="1:2" x14ac:dyDescent="0.25">
      <c r="A6046" s="57">
        <v>31361605</v>
      </c>
      <c r="B6046" s="58" t="s">
        <v>11153</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9757</v>
      </c>
    </row>
    <row r="6053" spans="1:2" x14ac:dyDescent="0.25">
      <c r="A6053" s="57">
        <v>31361701</v>
      </c>
      <c r="B6053" s="58" t="s">
        <v>15546</v>
      </c>
    </row>
    <row r="6054" spans="1:2" x14ac:dyDescent="0.25">
      <c r="A6054" s="57">
        <v>31361702</v>
      </c>
      <c r="B6054" s="58" t="s">
        <v>10819</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11876</v>
      </c>
    </row>
    <row r="6066" spans="1:2" x14ac:dyDescent="0.25">
      <c r="A6066" s="57">
        <v>31371003</v>
      </c>
      <c r="B6066" s="58" t="s">
        <v>9171</v>
      </c>
    </row>
    <row r="6067" spans="1:2" x14ac:dyDescent="0.25">
      <c r="A6067" s="57">
        <v>31371101</v>
      </c>
      <c r="B6067" s="58" t="s">
        <v>7213</v>
      </c>
    </row>
    <row r="6068" spans="1:2" x14ac:dyDescent="0.25">
      <c r="A6068" s="57">
        <v>31371102</v>
      </c>
      <c r="B6068" s="58" t="s">
        <v>5903</v>
      </c>
    </row>
    <row r="6069" spans="1:2" x14ac:dyDescent="0.25">
      <c r="A6069" s="57">
        <v>31371103</v>
      </c>
      <c r="B6069" s="58" t="s">
        <v>9977</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13404</v>
      </c>
    </row>
    <row r="6074" spans="1:2" x14ac:dyDescent="0.25">
      <c r="A6074" s="57">
        <v>31371201</v>
      </c>
      <c r="B6074" s="58" t="s">
        <v>10220</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13014</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10861</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9758</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11522</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10118</v>
      </c>
    </row>
    <row r="6106" spans="1:2" x14ac:dyDescent="0.25">
      <c r="A6106" s="57">
        <v>32101518</v>
      </c>
      <c r="B6106" s="58" t="s">
        <v>15366</v>
      </c>
    </row>
    <row r="6107" spans="1:2" x14ac:dyDescent="0.25">
      <c r="A6107" s="57">
        <v>32101519</v>
      </c>
      <c r="B6107" s="58" t="s">
        <v>18222</v>
      </c>
    </row>
    <row r="6108" spans="1:2" x14ac:dyDescent="0.25">
      <c r="A6108" s="57">
        <v>32101520</v>
      </c>
      <c r="B6108" s="58" t="s">
        <v>11439</v>
      </c>
    </row>
    <row r="6109" spans="1:2" x14ac:dyDescent="0.25">
      <c r="A6109" s="57">
        <v>32101521</v>
      </c>
      <c r="B6109" s="58" t="s">
        <v>6179</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8119</v>
      </c>
    </row>
    <row r="6118" spans="1:2" x14ac:dyDescent="0.25">
      <c r="A6118" s="57">
        <v>32101602</v>
      </c>
      <c r="B6118" s="58" t="s">
        <v>9680</v>
      </c>
    </row>
    <row r="6119" spans="1:2" x14ac:dyDescent="0.25">
      <c r="A6119" s="57">
        <v>32101603</v>
      </c>
      <c r="B6119" s="58" t="s">
        <v>14919</v>
      </c>
    </row>
    <row r="6120" spans="1:2" x14ac:dyDescent="0.25">
      <c r="A6120" s="57">
        <v>32101604</v>
      </c>
      <c r="B6120" s="58" t="s">
        <v>10159</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11083</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12311</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12903</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15841</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14390</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11680</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9729</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9857</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13397</v>
      </c>
    </row>
    <row r="6183" spans="1:2" x14ac:dyDescent="0.25">
      <c r="A6183" s="57">
        <v>32121504</v>
      </c>
      <c r="B6183" s="58" t="s">
        <v>13068</v>
      </c>
    </row>
    <row r="6184" spans="1:2" x14ac:dyDescent="0.25">
      <c r="A6184" s="57">
        <v>32121602</v>
      </c>
      <c r="B6184" s="58" t="s">
        <v>18032</v>
      </c>
    </row>
    <row r="6185" spans="1:2" x14ac:dyDescent="0.25">
      <c r="A6185" s="57">
        <v>32121603</v>
      </c>
      <c r="B6185" s="58" t="s">
        <v>540</v>
      </c>
    </row>
    <row r="6186" spans="1:2" x14ac:dyDescent="0.25">
      <c r="A6186" s="57">
        <v>32121607</v>
      </c>
      <c r="B6186" s="58" t="s">
        <v>10112</v>
      </c>
    </row>
    <row r="6187" spans="1:2" x14ac:dyDescent="0.25">
      <c r="A6187" s="57">
        <v>32121609</v>
      </c>
      <c r="B6187" s="58" t="s">
        <v>8181</v>
      </c>
    </row>
    <row r="6188" spans="1:2" x14ac:dyDescent="0.25">
      <c r="A6188" s="57">
        <v>32121701</v>
      </c>
      <c r="B6188" s="58" t="s">
        <v>4817</v>
      </c>
    </row>
    <row r="6189" spans="1:2" x14ac:dyDescent="0.25">
      <c r="A6189" s="57">
        <v>32121702</v>
      </c>
      <c r="B6189" s="58" t="s">
        <v>13770</v>
      </c>
    </row>
    <row r="6190" spans="1:2" x14ac:dyDescent="0.25">
      <c r="A6190" s="57">
        <v>32121703</v>
      </c>
      <c r="B6190" s="58" t="s">
        <v>16281</v>
      </c>
    </row>
    <row r="6191" spans="1:2" x14ac:dyDescent="0.25">
      <c r="A6191" s="57">
        <v>32121704</v>
      </c>
      <c r="B6191" s="58" t="s">
        <v>13626</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14151</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9685</v>
      </c>
    </row>
    <row r="6203" spans="1:2" x14ac:dyDescent="0.25">
      <c r="A6203" s="57">
        <v>32131011</v>
      </c>
      <c r="B6203" s="58" t="s">
        <v>11256</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13189</v>
      </c>
    </row>
    <row r="6214" spans="1:2" x14ac:dyDescent="0.25">
      <c r="A6214" s="57">
        <v>32141010</v>
      </c>
      <c r="B6214" s="58" t="s">
        <v>11520</v>
      </c>
    </row>
    <row r="6215" spans="1:2" x14ac:dyDescent="0.25">
      <c r="A6215" s="57">
        <v>32141011</v>
      </c>
      <c r="B6215" s="58" t="s">
        <v>799</v>
      </c>
    </row>
    <row r="6216" spans="1:2" x14ac:dyDescent="0.25">
      <c r="A6216" s="57">
        <v>32141012</v>
      </c>
      <c r="B6216" s="58" t="s">
        <v>15097</v>
      </c>
    </row>
    <row r="6217" spans="1:2" x14ac:dyDescent="0.25">
      <c r="A6217" s="57">
        <v>32141013</v>
      </c>
      <c r="B6217" s="58" t="s">
        <v>10128</v>
      </c>
    </row>
    <row r="6218" spans="1:2" x14ac:dyDescent="0.25">
      <c r="A6218" s="57">
        <v>32141014</v>
      </c>
      <c r="B6218" s="58" t="s">
        <v>11171</v>
      </c>
    </row>
    <row r="6219" spans="1:2" x14ac:dyDescent="0.25">
      <c r="A6219" s="57">
        <v>32141015</v>
      </c>
      <c r="B6219" s="58" t="s">
        <v>6243</v>
      </c>
    </row>
    <row r="6220" spans="1:2" x14ac:dyDescent="0.25">
      <c r="A6220" s="57">
        <v>32141016</v>
      </c>
      <c r="B6220" s="58" t="s">
        <v>11995</v>
      </c>
    </row>
    <row r="6221" spans="1:2" x14ac:dyDescent="0.25">
      <c r="A6221" s="57">
        <v>32141101</v>
      </c>
      <c r="B6221" s="58" t="s">
        <v>3097</v>
      </c>
    </row>
    <row r="6222" spans="1:2" x14ac:dyDescent="0.25">
      <c r="A6222" s="57">
        <v>32141102</v>
      </c>
      <c r="B6222" s="58" t="s">
        <v>2132</v>
      </c>
    </row>
    <row r="6223" spans="1:2" x14ac:dyDescent="0.25">
      <c r="A6223" s="57">
        <v>32141103</v>
      </c>
      <c r="B6223" s="58" t="s">
        <v>10283</v>
      </c>
    </row>
    <row r="6224" spans="1:2" x14ac:dyDescent="0.25">
      <c r="A6224" s="57">
        <v>32141104</v>
      </c>
      <c r="B6224" s="58" t="s">
        <v>17239</v>
      </c>
    </row>
    <row r="6225" spans="1:2" x14ac:dyDescent="0.25">
      <c r="A6225" s="57">
        <v>32141105</v>
      </c>
      <c r="B6225" s="58" t="s">
        <v>16738</v>
      </c>
    </row>
    <row r="6226" spans="1:2" x14ac:dyDescent="0.25">
      <c r="A6226" s="57">
        <v>32141106</v>
      </c>
      <c r="B6226" s="58" t="s">
        <v>9175</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12631</v>
      </c>
    </row>
    <row r="6242" spans="1:2" x14ac:dyDescent="0.25">
      <c r="A6242" s="57">
        <v>39101615</v>
      </c>
      <c r="B6242" s="58" t="s">
        <v>16787</v>
      </c>
    </row>
    <row r="6243" spans="1:2" x14ac:dyDescent="0.25">
      <c r="A6243" s="57">
        <v>39101616</v>
      </c>
      <c r="B6243" s="58" t="s">
        <v>11475</v>
      </c>
    </row>
    <row r="6244" spans="1:2" x14ac:dyDescent="0.25">
      <c r="A6244" s="57">
        <v>39101617</v>
      </c>
      <c r="B6244" s="58" t="s">
        <v>11056</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17310</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13517</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13215</v>
      </c>
    </row>
    <row r="6275" spans="1:2" x14ac:dyDescent="0.25">
      <c r="A6275" s="57">
        <v>39111705</v>
      </c>
      <c r="B6275" s="58" t="s">
        <v>17783</v>
      </c>
    </row>
    <row r="6276" spans="1:2" x14ac:dyDescent="0.25">
      <c r="A6276" s="57">
        <v>39111706</v>
      </c>
      <c r="B6276" s="58" t="s">
        <v>5987</v>
      </c>
    </row>
    <row r="6277" spans="1:2" x14ac:dyDescent="0.25">
      <c r="A6277" s="57">
        <v>39111801</v>
      </c>
      <c r="B6277" s="58" t="s">
        <v>13163</v>
      </c>
    </row>
    <row r="6278" spans="1:2" x14ac:dyDescent="0.25">
      <c r="A6278" s="57">
        <v>39111802</v>
      </c>
      <c r="B6278" s="58" t="s">
        <v>15065</v>
      </c>
    </row>
    <row r="6279" spans="1:2" x14ac:dyDescent="0.25">
      <c r="A6279" s="57">
        <v>39111803</v>
      </c>
      <c r="B6279" s="58" t="s">
        <v>13891</v>
      </c>
    </row>
    <row r="6280" spans="1:2" x14ac:dyDescent="0.25">
      <c r="A6280" s="57">
        <v>39111804</v>
      </c>
      <c r="B6280" s="58" t="s">
        <v>17726</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14215</v>
      </c>
    </row>
    <row r="6291" spans="1:2" x14ac:dyDescent="0.25">
      <c r="A6291" s="57">
        <v>39112002</v>
      </c>
      <c r="B6291" s="58" t="s">
        <v>9410</v>
      </c>
    </row>
    <row r="6292" spans="1:2" x14ac:dyDescent="0.25">
      <c r="A6292" s="57">
        <v>39112003</v>
      </c>
      <c r="B6292" s="58" t="s">
        <v>11684</v>
      </c>
    </row>
    <row r="6293" spans="1:2" x14ac:dyDescent="0.25">
      <c r="A6293" s="57">
        <v>39121001</v>
      </c>
      <c r="B6293" s="58" t="s">
        <v>5156</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13720</v>
      </c>
    </row>
    <row r="6302" spans="1:2" x14ac:dyDescent="0.25">
      <c r="A6302" s="57">
        <v>39121011</v>
      </c>
      <c r="B6302" s="58" t="s">
        <v>10099</v>
      </c>
    </row>
    <row r="6303" spans="1:2" x14ac:dyDescent="0.25">
      <c r="A6303" s="57">
        <v>39121012</v>
      </c>
      <c r="B6303" s="58" t="s">
        <v>10436</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10985</v>
      </c>
    </row>
    <row r="6309" spans="1:2" x14ac:dyDescent="0.25">
      <c r="A6309" s="57">
        <v>39121018</v>
      </c>
      <c r="B6309" s="58" t="s">
        <v>8860</v>
      </c>
    </row>
    <row r="6310" spans="1:2" x14ac:dyDescent="0.25">
      <c r="A6310" s="57">
        <v>39121019</v>
      </c>
      <c r="B6310" s="58" t="s">
        <v>11927</v>
      </c>
    </row>
    <row r="6311" spans="1:2" x14ac:dyDescent="0.25">
      <c r="A6311" s="57">
        <v>39121020</v>
      </c>
      <c r="B6311" s="58" t="s">
        <v>15642</v>
      </c>
    </row>
    <row r="6312" spans="1:2" x14ac:dyDescent="0.25">
      <c r="A6312" s="57">
        <v>39121101</v>
      </c>
      <c r="B6312" s="58" t="s">
        <v>13481</v>
      </c>
    </row>
    <row r="6313" spans="1:2" x14ac:dyDescent="0.25">
      <c r="A6313" s="57">
        <v>39121102</v>
      </c>
      <c r="B6313" s="58" t="s">
        <v>15246</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12236</v>
      </c>
    </row>
    <row r="6320" spans="1:2" x14ac:dyDescent="0.25">
      <c r="A6320" s="57">
        <v>39121109</v>
      </c>
      <c r="B6320" s="58" t="s">
        <v>13872</v>
      </c>
    </row>
    <row r="6321" spans="1:2" x14ac:dyDescent="0.25">
      <c r="A6321" s="57">
        <v>39121201</v>
      </c>
      <c r="B6321" s="58" t="s">
        <v>13624</v>
      </c>
    </row>
    <row r="6322" spans="1:2" x14ac:dyDescent="0.25">
      <c r="A6322" s="57">
        <v>39121202</v>
      </c>
      <c r="B6322" s="58" t="s">
        <v>10801</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11722</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10055</v>
      </c>
    </row>
    <row r="6332" spans="1:2" x14ac:dyDescent="0.25">
      <c r="A6332" s="57">
        <v>39121305</v>
      </c>
      <c r="B6332" s="58" t="s">
        <v>7310</v>
      </c>
    </row>
    <row r="6333" spans="1:2" x14ac:dyDescent="0.25">
      <c r="A6333" s="57">
        <v>39121306</v>
      </c>
      <c r="B6333" s="58" t="s">
        <v>2213</v>
      </c>
    </row>
    <row r="6334" spans="1:2" x14ac:dyDescent="0.25">
      <c r="A6334" s="57">
        <v>39121307</v>
      </c>
      <c r="B6334" s="58" t="s">
        <v>12643</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12266</v>
      </c>
    </row>
    <row r="6339" spans="1:2" x14ac:dyDescent="0.25">
      <c r="A6339" s="57">
        <v>39121312</v>
      </c>
      <c r="B6339" s="58" t="s">
        <v>15758</v>
      </c>
    </row>
    <row r="6340" spans="1:2" x14ac:dyDescent="0.25">
      <c r="A6340" s="57">
        <v>39121313</v>
      </c>
      <c r="B6340" s="58" t="s">
        <v>14353</v>
      </c>
    </row>
    <row r="6341" spans="1:2" x14ac:dyDescent="0.25">
      <c r="A6341" s="57">
        <v>39121402</v>
      </c>
      <c r="B6341" s="58" t="s">
        <v>1565</v>
      </c>
    </row>
    <row r="6342" spans="1:2" x14ac:dyDescent="0.25">
      <c r="A6342" s="57">
        <v>39121403</v>
      </c>
      <c r="B6342" s="58" t="s">
        <v>8484</v>
      </c>
    </row>
    <row r="6343" spans="1:2" x14ac:dyDescent="0.25">
      <c r="A6343" s="57">
        <v>39121404</v>
      </c>
      <c r="B6343" s="58" t="s">
        <v>11752</v>
      </c>
    </row>
    <row r="6344" spans="1:2" x14ac:dyDescent="0.25">
      <c r="A6344" s="57">
        <v>39121405</v>
      </c>
      <c r="B6344" s="58" t="s">
        <v>17768</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11771</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17481</v>
      </c>
    </row>
    <row r="6361" spans="1:2" x14ac:dyDescent="0.25">
      <c r="A6361" s="57">
        <v>39121424</v>
      </c>
      <c r="B6361" s="58" t="s">
        <v>9821</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14024</v>
      </c>
    </row>
    <row r="6370" spans="1:2" x14ac:dyDescent="0.25">
      <c r="A6370" s="57">
        <v>39121433</v>
      </c>
      <c r="B6370" s="58" t="s">
        <v>12437</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13800</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11081</v>
      </c>
    </row>
    <row r="6390" spans="1:2" x14ac:dyDescent="0.25">
      <c r="A6390" s="57">
        <v>39121516</v>
      </c>
      <c r="B6390" s="58" t="s">
        <v>13401</v>
      </c>
    </row>
    <row r="6391" spans="1:2" x14ac:dyDescent="0.25">
      <c r="A6391" s="57">
        <v>39121517</v>
      </c>
      <c r="B6391" s="58" t="s">
        <v>9217</v>
      </c>
    </row>
    <row r="6392" spans="1:2" x14ac:dyDescent="0.25">
      <c r="A6392" s="57">
        <v>39121518</v>
      </c>
      <c r="B6392" s="58" t="s">
        <v>2948</v>
      </c>
    </row>
    <row r="6393" spans="1:2" x14ac:dyDescent="0.25">
      <c r="A6393" s="57">
        <v>39121519</v>
      </c>
      <c r="B6393" s="58" t="s">
        <v>10692</v>
      </c>
    </row>
    <row r="6394" spans="1:2" x14ac:dyDescent="0.25">
      <c r="A6394" s="57">
        <v>39121520</v>
      </c>
      <c r="B6394" s="58" t="s">
        <v>15536</v>
      </c>
    </row>
    <row r="6395" spans="1:2" x14ac:dyDescent="0.25">
      <c r="A6395" s="57">
        <v>39121521</v>
      </c>
      <c r="B6395" s="58" t="s">
        <v>9516</v>
      </c>
    </row>
    <row r="6396" spans="1:2" x14ac:dyDescent="0.25">
      <c r="A6396" s="57">
        <v>39121522</v>
      </c>
      <c r="B6396" s="58" t="s">
        <v>13987</v>
      </c>
    </row>
    <row r="6397" spans="1:2" x14ac:dyDescent="0.25">
      <c r="A6397" s="57">
        <v>39121523</v>
      </c>
      <c r="B6397" s="58" t="s">
        <v>11050</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12072</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11547</v>
      </c>
    </row>
    <row r="6413" spans="1:2" x14ac:dyDescent="0.25">
      <c r="A6413" s="57">
        <v>39121541</v>
      </c>
      <c r="B6413" s="58" t="s">
        <v>15685</v>
      </c>
    </row>
    <row r="6414" spans="1:2" x14ac:dyDescent="0.25">
      <c r="A6414" s="57">
        <v>39121542</v>
      </c>
      <c r="B6414" s="58" t="s">
        <v>12944</v>
      </c>
    </row>
    <row r="6415" spans="1:2" x14ac:dyDescent="0.25">
      <c r="A6415" s="57">
        <v>39121543</v>
      </c>
      <c r="B6415" s="58" t="s">
        <v>16182</v>
      </c>
    </row>
    <row r="6416" spans="1:2" x14ac:dyDescent="0.25">
      <c r="A6416" s="57">
        <v>39121544</v>
      </c>
      <c r="B6416" s="58" t="s">
        <v>14584</v>
      </c>
    </row>
    <row r="6417" spans="1:2" x14ac:dyDescent="0.25">
      <c r="A6417" s="57">
        <v>39121545</v>
      </c>
      <c r="B6417" s="58" t="s">
        <v>2829</v>
      </c>
    </row>
    <row r="6418" spans="1:2" x14ac:dyDescent="0.25">
      <c r="A6418" s="57">
        <v>39121546</v>
      </c>
      <c r="B6418" s="58" t="s">
        <v>9933</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10689</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12469</v>
      </c>
    </row>
    <row r="6428" spans="1:2" x14ac:dyDescent="0.25">
      <c r="A6428" s="57">
        <v>39121605</v>
      </c>
      <c r="B6428" s="58" t="s">
        <v>11945</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12349</v>
      </c>
    </row>
    <row r="6446" spans="1:2" x14ac:dyDescent="0.25">
      <c r="A6446" s="57">
        <v>39121704</v>
      </c>
      <c r="B6446" s="58" t="s">
        <v>12799</v>
      </c>
    </row>
    <row r="6447" spans="1:2" x14ac:dyDescent="0.25">
      <c r="A6447" s="57">
        <v>39121705</v>
      </c>
      <c r="B6447" s="58" t="s">
        <v>10425</v>
      </c>
    </row>
    <row r="6448" spans="1:2" x14ac:dyDescent="0.25">
      <c r="A6448" s="57">
        <v>39121706</v>
      </c>
      <c r="B6448" s="58" t="s">
        <v>8606</v>
      </c>
    </row>
    <row r="6449" spans="1:2" x14ac:dyDescent="0.25">
      <c r="A6449" s="57">
        <v>39121707</v>
      </c>
      <c r="B6449" s="58" t="s">
        <v>1532</v>
      </c>
    </row>
    <row r="6450" spans="1:2" x14ac:dyDescent="0.25">
      <c r="A6450" s="57">
        <v>39121708</v>
      </c>
      <c r="B6450" s="58" t="s">
        <v>10106</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12764</v>
      </c>
    </row>
    <row r="6455" spans="1:2" x14ac:dyDescent="0.25">
      <c r="A6455" s="57">
        <v>39121713</v>
      </c>
      <c r="B6455" s="58" t="s">
        <v>12765</v>
      </c>
    </row>
    <row r="6456" spans="1:2" x14ac:dyDescent="0.25">
      <c r="A6456" s="57">
        <v>39121714</v>
      </c>
      <c r="B6456" s="58" t="s">
        <v>17268</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10909</v>
      </c>
    </row>
    <row r="6466" spans="1:2" x14ac:dyDescent="0.25">
      <c r="A6466" s="57">
        <v>40101503</v>
      </c>
      <c r="B6466" s="58" t="s">
        <v>15229</v>
      </c>
    </row>
    <row r="6467" spans="1:2" x14ac:dyDescent="0.25">
      <c r="A6467" s="57">
        <v>40101504</v>
      </c>
      <c r="B6467" s="58" t="s">
        <v>17701</v>
      </c>
    </row>
    <row r="6468" spans="1:2" x14ac:dyDescent="0.25">
      <c r="A6468" s="57">
        <v>40101505</v>
      </c>
      <c r="B6468" s="58" t="s">
        <v>11128</v>
      </c>
    </row>
    <row r="6469" spans="1:2" x14ac:dyDescent="0.25">
      <c r="A6469" s="57">
        <v>40101506</v>
      </c>
      <c r="B6469" s="58" t="s">
        <v>9376</v>
      </c>
    </row>
    <row r="6470" spans="1:2" x14ac:dyDescent="0.25">
      <c r="A6470" s="57">
        <v>40101601</v>
      </c>
      <c r="B6470" s="58" t="s">
        <v>13152</v>
      </c>
    </row>
    <row r="6471" spans="1:2" x14ac:dyDescent="0.25">
      <c r="A6471" s="57">
        <v>40101602</v>
      </c>
      <c r="B6471" s="58" t="s">
        <v>4278</v>
      </c>
    </row>
    <row r="6472" spans="1:2" x14ac:dyDescent="0.25">
      <c r="A6472" s="57">
        <v>40101603</v>
      </c>
      <c r="B6472" s="58" t="s">
        <v>12377</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10731</v>
      </c>
    </row>
    <row r="6479" spans="1:2" x14ac:dyDescent="0.25">
      <c r="A6479" s="57">
        <v>40101705</v>
      </c>
      <c r="B6479" s="58" t="s">
        <v>10474</v>
      </c>
    </row>
    <row r="6480" spans="1:2" x14ac:dyDescent="0.25">
      <c r="A6480" s="57">
        <v>40101706</v>
      </c>
      <c r="B6480" s="58" t="s">
        <v>6013</v>
      </c>
    </row>
    <row r="6481" spans="1:2" x14ac:dyDescent="0.25">
      <c r="A6481" s="57">
        <v>40101707</v>
      </c>
      <c r="B6481" s="58" t="s">
        <v>12614</v>
      </c>
    </row>
    <row r="6482" spans="1:2" x14ac:dyDescent="0.25">
      <c r="A6482" s="57">
        <v>40101801</v>
      </c>
      <c r="B6482" s="58" t="s">
        <v>10372</v>
      </c>
    </row>
    <row r="6483" spans="1:2" x14ac:dyDescent="0.25">
      <c r="A6483" s="57">
        <v>40101802</v>
      </c>
      <c r="B6483" s="58" t="s">
        <v>3314</v>
      </c>
    </row>
    <row r="6484" spans="1:2" x14ac:dyDescent="0.25">
      <c r="A6484" s="57">
        <v>40101803</v>
      </c>
      <c r="B6484" s="58" t="s">
        <v>13814</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13436</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13226</v>
      </c>
    </row>
    <row r="6504" spans="1:2" x14ac:dyDescent="0.25">
      <c r="A6504" s="57">
        <v>40101824</v>
      </c>
      <c r="B6504" s="58" t="s">
        <v>17118</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11623</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12487</v>
      </c>
    </row>
    <row r="6524" spans="1:2" x14ac:dyDescent="0.25">
      <c r="A6524" s="57">
        <v>40141603</v>
      </c>
      <c r="B6524" s="58" t="s">
        <v>6762</v>
      </c>
    </row>
    <row r="6525" spans="1:2" x14ac:dyDescent="0.25">
      <c r="A6525" s="57">
        <v>40141604</v>
      </c>
      <c r="B6525" s="58" t="s">
        <v>12554</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11398</v>
      </c>
    </row>
    <row r="6536" spans="1:2" x14ac:dyDescent="0.25">
      <c r="A6536" s="57">
        <v>40141616</v>
      </c>
      <c r="B6536" s="58" t="s">
        <v>1454</v>
      </c>
    </row>
    <row r="6537" spans="1:2" x14ac:dyDescent="0.25">
      <c r="A6537" s="57">
        <v>40141617</v>
      </c>
      <c r="B6537" s="58" t="s">
        <v>10173</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11205</v>
      </c>
    </row>
    <row r="6547" spans="1:2" x14ac:dyDescent="0.25">
      <c r="A6547" s="57">
        <v>40141627</v>
      </c>
      <c r="B6547" s="58" t="s">
        <v>1605</v>
      </c>
    </row>
    <row r="6548" spans="1:2" x14ac:dyDescent="0.25">
      <c r="A6548" s="57">
        <v>40141628</v>
      </c>
      <c r="B6548" s="58" t="s">
        <v>14261</v>
      </c>
    </row>
    <row r="6549" spans="1:2" x14ac:dyDescent="0.25">
      <c r="A6549" s="57">
        <v>40141629</v>
      </c>
      <c r="B6549" s="58" t="s">
        <v>15747</v>
      </c>
    </row>
    <row r="6550" spans="1:2" x14ac:dyDescent="0.25">
      <c r="A6550" s="57">
        <v>40141630</v>
      </c>
      <c r="B6550" s="58" t="s">
        <v>10496</v>
      </c>
    </row>
    <row r="6551" spans="1:2" x14ac:dyDescent="0.25">
      <c r="A6551" s="57">
        <v>40141631</v>
      </c>
      <c r="B6551" s="58" t="s">
        <v>1201</v>
      </c>
    </row>
    <row r="6552" spans="1:2" x14ac:dyDescent="0.25">
      <c r="A6552" s="57">
        <v>40141632</v>
      </c>
      <c r="B6552" s="58" t="s">
        <v>123</v>
      </c>
    </row>
    <row r="6553" spans="1:2" x14ac:dyDescent="0.25">
      <c r="A6553" s="57">
        <v>40141633</v>
      </c>
      <c r="B6553" s="58" t="s">
        <v>12307</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18770</v>
      </c>
    </row>
    <row r="6559" spans="1:2" x14ac:dyDescent="0.25">
      <c r="A6559" s="57">
        <v>40141701</v>
      </c>
      <c r="B6559" s="58" t="s">
        <v>10853</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13960</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10513</v>
      </c>
    </row>
    <row r="6569" spans="1:2" x14ac:dyDescent="0.25">
      <c r="A6569" s="57">
        <v>40141727</v>
      </c>
      <c r="B6569" s="58" t="s">
        <v>6856</v>
      </c>
    </row>
    <row r="6570" spans="1:2" x14ac:dyDescent="0.25">
      <c r="A6570" s="57">
        <v>40141731</v>
      </c>
      <c r="B6570" s="58" t="s">
        <v>17222</v>
      </c>
    </row>
    <row r="6571" spans="1:2" x14ac:dyDescent="0.25">
      <c r="A6571" s="57">
        <v>40141732</v>
      </c>
      <c r="B6571" s="58" t="s">
        <v>12458</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10072</v>
      </c>
    </row>
    <row r="6588" spans="1:2" x14ac:dyDescent="0.25">
      <c r="A6588" s="57">
        <v>40141904</v>
      </c>
      <c r="B6588" s="58" t="s">
        <v>13113</v>
      </c>
    </row>
    <row r="6589" spans="1:2" x14ac:dyDescent="0.25">
      <c r="A6589" s="57">
        <v>40141905</v>
      </c>
      <c r="B6589" s="58" t="s">
        <v>4851</v>
      </c>
    </row>
    <row r="6590" spans="1:2" x14ac:dyDescent="0.25">
      <c r="A6590" s="57">
        <v>40141906</v>
      </c>
      <c r="B6590" s="58" t="s">
        <v>10246</v>
      </c>
    </row>
    <row r="6591" spans="1:2" x14ac:dyDescent="0.25">
      <c r="A6591" s="57">
        <v>40141907</v>
      </c>
      <c r="B6591" s="58" t="s">
        <v>10246</v>
      </c>
    </row>
    <row r="6592" spans="1:2" x14ac:dyDescent="0.25">
      <c r="A6592" s="57">
        <v>40141908</v>
      </c>
      <c r="B6592" s="58" t="s">
        <v>16792</v>
      </c>
    </row>
    <row r="6593" spans="1:2" x14ac:dyDescent="0.25">
      <c r="A6593" s="57">
        <v>40141909</v>
      </c>
      <c r="B6593" s="58" t="s">
        <v>12829</v>
      </c>
    </row>
    <row r="6594" spans="1:2" x14ac:dyDescent="0.25">
      <c r="A6594" s="57">
        <v>40141910</v>
      </c>
      <c r="B6594" s="58" t="s">
        <v>17293</v>
      </c>
    </row>
    <row r="6595" spans="1:2" x14ac:dyDescent="0.25">
      <c r="A6595" s="57">
        <v>40141911</v>
      </c>
      <c r="B6595" s="58" t="s">
        <v>17115</v>
      </c>
    </row>
    <row r="6596" spans="1:2" x14ac:dyDescent="0.25">
      <c r="A6596" s="57">
        <v>40141912</v>
      </c>
      <c r="B6596" s="58" t="s">
        <v>2261</v>
      </c>
    </row>
    <row r="6597" spans="1:2" x14ac:dyDescent="0.25">
      <c r="A6597" s="57">
        <v>40141913</v>
      </c>
      <c r="B6597" s="58" t="s">
        <v>12476</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14107</v>
      </c>
    </row>
    <row r="6604" spans="1:2" x14ac:dyDescent="0.25">
      <c r="A6604" s="57">
        <v>40141920</v>
      </c>
      <c r="B6604" s="58" t="s">
        <v>17116</v>
      </c>
    </row>
    <row r="6605" spans="1:2" x14ac:dyDescent="0.25">
      <c r="A6605" s="57">
        <v>40141921</v>
      </c>
      <c r="B6605" s="58" t="s">
        <v>12761</v>
      </c>
    </row>
    <row r="6606" spans="1:2" x14ac:dyDescent="0.25">
      <c r="A6606" s="57">
        <v>40141922</v>
      </c>
      <c r="B6606" s="58" t="s">
        <v>3072</v>
      </c>
    </row>
    <row r="6607" spans="1:2" x14ac:dyDescent="0.25">
      <c r="A6607" s="57">
        <v>40142001</v>
      </c>
      <c r="B6607" s="58" t="s">
        <v>8759</v>
      </c>
    </row>
    <row r="6608" spans="1:2" x14ac:dyDescent="0.25">
      <c r="A6608" s="57">
        <v>40142002</v>
      </c>
      <c r="B6608" s="58" t="s">
        <v>12231</v>
      </c>
    </row>
    <row r="6609" spans="1:2" x14ac:dyDescent="0.25">
      <c r="A6609" s="57">
        <v>40142003</v>
      </c>
      <c r="B6609" s="58" t="s">
        <v>8364</v>
      </c>
    </row>
    <row r="6610" spans="1:2" x14ac:dyDescent="0.25">
      <c r="A6610" s="57">
        <v>40142004</v>
      </c>
      <c r="B6610" s="58" t="s">
        <v>13802</v>
      </c>
    </row>
    <row r="6611" spans="1:2" x14ac:dyDescent="0.25">
      <c r="A6611" s="57">
        <v>40142005</v>
      </c>
      <c r="B6611" s="58" t="s">
        <v>3246</v>
      </c>
    </row>
    <row r="6612" spans="1:2" x14ac:dyDescent="0.25">
      <c r="A6612" s="57">
        <v>40142006</v>
      </c>
      <c r="B6612" s="58" t="s">
        <v>10539</v>
      </c>
    </row>
    <row r="6613" spans="1:2" x14ac:dyDescent="0.25">
      <c r="A6613" s="57">
        <v>40142007</v>
      </c>
      <c r="B6613" s="58" t="s">
        <v>9063</v>
      </c>
    </row>
    <row r="6614" spans="1:2" x14ac:dyDescent="0.25">
      <c r="A6614" s="57">
        <v>40142008</v>
      </c>
      <c r="B6614" s="58" t="s">
        <v>13071</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17329</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11482</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13280</v>
      </c>
    </row>
    <row r="6631" spans="1:2" x14ac:dyDescent="0.25">
      <c r="A6631" s="57">
        <v>40142115</v>
      </c>
      <c r="B6631" s="58" t="s">
        <v>8948</v>
      </c>
    </row>
    <row r="6632" spans="1:2" x14ac:dyDescent="0.25">
      <c r="A6632" s="57">
        <v>40142116</v>
      </c>
      <c r="B6632" s="58" t="s">
        <v>10015</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5868</v>
      </c>
    </row>
    <row r="6642" spans="1:2" x14ac:dyDescent="0.25">
      <c r="A6642" s="57">
        <v>40142301</v>
      </c>
      <c r="B6642" s="58" t="s">
        <v>2860</v>
      </c>
    </row>
    <row r="6643" spans="1:2" x14ac:dyDescent="0.25">
      <c r="A6643" s="57">
        <v>40142302</v>
      </c>
      <c r="B6643" s="58" t="s">
        <v>15081</v>
      </c>
    </row>
    <row r="6644" spans="1:2" x14ac:dyDescent="0.25">
      <c r="A6644" s="57">
        <v>40142303</v>
      </c>
      <c r="B6644" s="58" t="s">
        <v>12621</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14084</v>
      </c>
    </row>
    <row r="6650" spans="1:2" x14ac:dyDescent="0.25">
      <c r="A6650" s="57">
        <v>40142309</v>
      </c>
      <c r="B6650" s="58" t="s">
        <v>8723</v>
      </c>
    </row>
    <row r="6651" spans="1:2" x14ac:dyDescent="0.25">
      <c r="A6651" s="57">
        <v>40142310</v>
      </c>
      <c r="B6651" s="58" t="s">
        <v>9827</v>
      </c>
    </row>
    <row r="6652" spans="1:2" x14ac:dyDescent="0.25">
      <c r="A6652" s="57">
        <v>40142311</v>
      </c>
      <c r="B6652" s="58" t="s">
        <v>9275</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12558</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9848</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10807</v>
      </c>
    </row>
    <row r="6670" spans="1:2" x14ac:dyDescent="0.25">
      <c r="A6670" s="57">
        <v>40142402</v>
      </c>
      <c r="B6670" s="58" t="s">
        <v>12206</v>
      </c>
    </row>
    <row r="6671" spans="1:2" x14ac:dyDescent="0.25">
      <c r="A6671" s="57">
        <v>40142403</v>
      </c>
      <c r="B6671" s="58" t="s">
        <v>8256</v>
      </c>
    </row>
    <row r="6672" spans="1:2" x14ac:dyDescent="0.25">
      <c r="A6672" s="57">
        <v>40142404</v>
      </c>
      <c r="B6672" s="58" t="s">
        <v>9780</v>
      </c>
    </row>
    <row r="6673" spans="1:2" x14ac:dyDescent="0.25">
      <c r="A6673" s="57">
        <v>40142405</v>
      </c>
      <c r="B6673" s="58" t="s">
        <v>5652</v>
      </c>
    </row>
    <row r="6674" spans="1:2" x14ac:dyDescent="0.25">
      <c r="A6674" s="57">
        <v>40142406</v>
      </c>
      <c r="B6674" s="58" t="s">
        <v>11414</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10188</v>
      </c>
    </row>
    <row r="6680" spans="1:2" x14ac:dyDescent="0.25">
      <c r="A6680" s="57">
        <v>40142412</v>
      </c>
      <c r="B6680" s="58" t="s">
        <v>427</v>
      </c>
    </row>
    <row r="6681" spans="1:2" x14ac:dyDescent="0.25">
      <c r="A6681" s="57">
        <v>40142413</v>
      </c>
      <c r="B6681" s="58" t="s">
        <v>12007</v>
      </c>
    </row>
    <row r="6682" spans="1:2" x14ac:dyDescent="0.25">
      <c r="A6682" s="57">
        <v>40142414</v>
      </c>
      <c r="B6682" s="58" t="s">
        <v>17378</v>
      </c>
    </row>
    <row r="6683" spans="1:2" x14ac:dyDescent="0.25">
      <c r="A6683" s="57">
        <v>40142501</v>
      </c>
      <c r="B6683" s="58" t="s">
        <v>5737</v>
      </c>
    </row>
    <row r="6684" spans="1:2" x14ac:dyDescent="0.25">
      <c r="A6684" s="57">
        <v>40142502</v>
      </c>
      <c r="B6684" s="58" t="s">
        <v>12723</v>
      </c>
    </row>
    <row r="6685" spans="1:2" x14ac:dyDescent="0.25">
      <c r="A6685" s="57">
        <v>40142503</v>
      </c>
      <c r="B6685" s="58" t="s">
        <v>6653</v>
      </c>
    </row>
    <row r="6686" spans="1:2" x14ac:dyDescent="0.25">
      <c r="A6686" s="57">
        <v>40142504</v>
      </c>
      <c r="B6686" s="58" t="s">
        <v>12438</v>
      </c>
    </row>
    <row r="6687" spans="1:2" x14ac:dyDescent="0.25">
      <c r="A6687" s="57">
        <v>40142604</v>
      </c>
      <c r="B6687" s="58" t="s">
        <v>5060</v>
      </c>
    </row>
    <row r="6688" spans="1:2" x14ac:dyDescent="0.25">
      <c r="A6688" s="57">
        <v>40142605</v>
      </c>
      <c r="B6688" s="58" t="s">
        <v>12854</v>
      </c>
    </row>
    <row r="6689" spans="1:2" x14ac:dyDescent="0.25">
      <c r="A6689" s="57">
        <v>40142606</v>
      </c>
      <c r="B6689" s="58" t="s">
        <v>8329</v>
      </c>
    </row>
    <row r="6690" spans="1:2" x14ac:dyDescent="0.25">
      <c r="A6690" s="57">
        <v>40142607</v>
      </c>
      <c r="B6690" s="58" t="s">
        <v>13610</v>
      </c>
    </row>
    <row r="6691" spans="1:2" x14ac:dyDescent="0.25">
      <c r="A6691" s="57">
        <v>40142608</v>
      </c>
      <c r="B6691" s="58" t="s">
        <v>10038</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14304</v>
      </c>
    </row>
    <row r="6696" spans="1:2" x14ac:dyDescent="0.25">
      <c r="A6696" s="57">
        <v>40142613</v>
      </c>
      <c r="B6696" s="58" t="s">
        <v>12310</v>
      </c>
    </row>
    <row r="6697" spans="1:2" x14ac:dyDescent="0.25">
      <c r="A6697" s="57">
        <v>40142614</v>
      </c>
      <c r="B6697" s="58" t="s">
        <v>3935</v>
      </c>
    </row>
    <row r="6698" spans="1:2" x14ac:dyDescent="0.25">
      <c r="A6698" s="57">
        <v>40142615</v>
      </c>
      <c r="B6698" s="58" t="s">
        <v>10931</v>
      </c>
    </row>
    <row r="6699" spans="1:2" x14ac:dyDescent="0.25">
      <c r="A6699" s="57">
        <v>40151501</v>
      </c>
      <c r="B6699" s="58" t="s">
        <v>12833</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10233</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9497</v>
      </c>
    </row>
    <row r="6712" spans="1:2" x14ac:dyDescent="0.25">
      <c r="A6712" s="57">
        <v>40151514</v>
      </c>
      <c r="B6712" s="58" t="s">
        <v>18467</v>
      </c>
    </row>
    <row r="6713" spans="1:2" x14ac:dyDescent="0.25">
      <c r="A6713" s="57">
        <v>40151515</v>
      </c>
      <c r="B6713" s="58" t="s">
        <v>12960</v>
      </c>
    </row>
    <row r="6714" spans="1:2" x14ac:dyDescent="0.25">
      <c r="A6714" s="57">
        <v>40151516</v>
      </c>
      <c r="B6714" s="58" t="s">
        <v>11391</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11848</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12075</v>
      </c>
    </row>
    <row r="6724" spans="1:2" x14ac:dyDescent="0.25">
      <c r="A6724" s="57">
        <v>40151526</v>
      </c>
      <c r="B6724" s="58" t="s">
        <v>8363</v>
      </c>
    </row>
    <row r="6725" spans="1:2" x14ac:dyDescent="0.25">
      <c r="A6725" s="57">
        <v>40151527</v>
      </c>
      <c r="B6725" s="58" t="s">
        <v>3181</v>
      </c>
    </row>
    <row r="6726" spans="1:2" x14ac:dyDescent="0.25">
      <c r="A6726" s="57">
        <v>40151528</v>
      </c>
      <c r="B6726" s="58" t="s">
        <v>11818</v>
      </c>
    </row>
    <row r="6727" spans="1:2" x14ac:dyDescent="0.25">
      <c r="A6727" s="57">
        <v>40151529</v>
      </c>
      <c r="B6727" s="58" t="s">
        <v>6705</v>
      </c>
    </row>
    <row r="6728" spans="1:2" x14ac:dyDescent="0.25">
      <c r="A6728" s="57">
        <v>40151530</v>
      </c>
      <c r="B6728" s="58" t="s">
        <v>12781</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10727</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12580</v>
      </c>
    </row>
    <row r="6740" spans="1:2" x14ac:dyDescent="0.25">
      <c r="A6740" s="57">
        <v>40151553</v>
      </c>
      <c r="B6740" s="58" t="s">
        <v>11829</v>
      </c>
    </row>
    <row r="6741" spans="1:2" x14ac:dyDescent="0.25">
      <c r="A6741" s="57">
        <v>40151554</v>
      </c>
      <c r="B6741" s="58" t="s">
        <v>15586</v>
      </c>
    </row>
    <row r="6742" spans="1:2" x14ac:dyDescent="0.25">
      <c r="A6742" s="57">
        <v>40151555</v>
      </c>
      <c r="B6742" s="58" t="s">
        <v>15369</v>
      </c>
    </row>
    <row r="6743" spans="1:2" x14ac:dyDescent="0.25">
      <c r="A6743" s="57">
        <v>40151556</v>
      </c>
      <c r="B6743" s="58" t="s">
        <v>10231</v>
      </c>
    </row>
    <row r="6744" spans="1:2" x14ac:dyDescent="0.25">
      <c r="A6744" s="57">
        <v>40151557</v>
      </c>
      <c r="B6744" s="58" t="s">
        <v>10816</v>
      </c>
    </row>
    <row r="6745" spans="1:2" x14ac:dyDescent="0.25">
      <c r="A6745" s="57">
        <v>40151558</v>
      </c>
      <c r="B6745" s="58" t="s">
        <v>9932</v>
      </c>
    </row>
    <row r="6746" spans="1:2" x14ac:dyDescent="0.25">
      <c r="A6746" s="57">
        <v>40151559</v>
      </c>
      <c r="B6746" s="58" t="s">
        <v>4687</v>
      </c>
    </row>
    <row r="6747" spans="1:2" x14ac:dyDescent="0.25">
      <c r="A6747" s="57">
        <v>40151560</v>
      </c>
      <c r="B6747" s="58" t="s">
        <v>15034</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11421</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10064</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12248</v>
      </c>
    </row>
    <row r="6777" spans="1:2" x14ac:dyDescent="0.25">
      <c r="A6777" s="57">
        <v>40151720</v>
      </c>
      <c r="B6777" s="58" t="s">
        <v>12316</v>
      </c>
    </row>
    <row r="6778" spans="1:2" x14ac:dyDescent="0.25">
      <c r="A6778" s="57">
        <v>40151721</v>
      </c>
      <c r="B6778" s="58" t="s">
        <v>9237</v>
      </c>
    </row>
    <row r="6779" spans="1:2" x14ac:dyDescent="0.25">
      <c r="A6779" s="57">
        <v>40151722</v>
      </c>
      <c r="B6779" s="58" t="s">
        <v>17638</v>
      </c>
    </row>
    <row r="6780" spans="1:2" x14ac:dyDescent="0.25">
      <c r="A6780" s="57">
        <v>40151723</v>
      </c>
      <c r="B6780" s="58" t="s">
        <v>10006</v>
      </c>
    </row>
    <row r="6781" spans="1:2" x14ac:dyDescent="0.25">
      <c r="A6781" s="57">
        <v>40151724</v>
      </c>
      <c r="B6781" s="58" t="s">
        <v>2806</v>
      </c>
    </row>
    <row r="6782" spans="1:2" x14ac:dyDescent="0.25">
      <c r="A6782" s="57">
        <v>40151725</v>
      </c>
      <c r="B6782" s="58" t="s">
        <v>771</v>
      </c>
    </row>
    <row r="6783" spans="1:2" x14ac:dyDescent="0.25">
      <c r="A6783" s="57">
        <v>40151726</v>
      </c>
      <c r="B6783" s="58" t="s">
        <v>12689</v>
      </c>
    </row>
    <row r="6784" spans="1:2" x14ac:dyDescent="0.25">
      <c r="A6784" s="57">
        <v>40151727</v>
      </c>
      <c r="B6784" s="58" t="s">
        <v>1807</v>
      </c>
    </row>
    <row r="6785" spans="1:2" x14ac:dyDescent="0.25">
      <c r="A6785" s="57">
        <v>40151728</v>
      </c>
      <c r="B6785" s="58" t="s">
        <v>14548</v>
      </c>
    </row>
    <row r="6786" spans="1:2" x14ac:dyDescent="0.25">
      <c r="A6786" s="57">
        <v>40161501</v>
      </c>
      <c r="B6786" s="58" t="s">
        <v>13010</v>
      </c>
    </row>
    <row r="6787" spans="1:2" x14ac:dyDescent="0.25">
      <c r="A6787" s="57">
        <v>40161502</v>
      </c>
      <c r="B6787" s="58" t="s">
        <v>12356</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17831</v>
      </c>
    </row>
    <row r="6806" spans="1:2" x14ac:dyDescent="0.25">
      <c r="A6806" s="57">
        <v>40161522</v>
      </c>
      <c r="B6806" s="58" t="s">
        <v>13530</v>
      </c>
    </row>
    <row r="6807" spans="1:2" x14ac:dyDescent="0.25">
      <c r="A6807" s="57">
        <v>40161524</v>
      </c>
      <c r="B6807" s="58" t="s">
        <v>9842</v>
      </c>
    </row>
    <row r="6808" spans="1:2" x14ac:dyDescent="0.25">
      <c r="A6808" s="57">
        <v>40161525</v>
      </c>
      <c r="B6808" s="58" t="s">
        <v>730</v>
      </c>
    </row>
    <row r="6809" spans="1:2" x14ac:dyDescent="0.25">
      <c r="A6809" s="57">
        <v>40161526</v>
      </c>
      <c r="B6809" s="58" t="s">
        <v>11565</v>
      </c>
    </row>
    <row r="6810" spans="1:2" x14ac:dyDescent="0.25">
      <c r="A6810" s="57">
        <v>40161527</v>
      </c>
      <c r="B6810" s="58" t="s">
        <v>10831</v>
      </c>
    </row>
    <row r="6811" spans="1:2" x14ac:dyDescent="0.25">
      <c r="A6811" s="57">
        <v>40161601</v>
      </c>
      <c r="B6811" s="58" t="s">
        <v>14263</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12023</v>
      </c>
    </row>
    <row r="6816" spans="1:2" x14ac:dyDescent="0.25">
      <c r="A6816" s="57">
        <v>40161704</v>
      </c>
      <c r="B6816" s="58" t="s">
        <v>13557</v>
      </c>
    </row>
    <row r="6817" spans="1:2" x14ac:dyDescent="0.25">
      <c r="A6817" s="57">
        <v>40161801</v>
      </c>
      <c r="B6817" s="58" t="s">
        <v>20</v>
      </c>
    </row>
    <row r="6818" spans="1:2" x14ac:dyDescent="0.25">
      <c r="A6818" s="57">
        <v>40161802</v>
      </c>
      <c r="B6818" s="58" t="s">
        <v>10669</v>
      </c>
    </row>
    <row r="6819" spans="1:2" x14ac:dyDescent="0.25">
      <c r="A6819" s="57">
        <v>40161803</v>
      </c>
      <c r="B6819" s="58" t="s">
        <v>12415</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8626</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14577</v>
      </c>
    </row>
    <row r="6846" spans="1:2" x14ac:dyDescent="0.25">
      <c r="A6846" s="57">
        <v>41101901</v>
      </c>
      <c r="B6846" s="58" t="s">
        <v>8045</v>
      </c>
    </row>
    <row r="6847" spans="1:2" x14ac:dyDescent="0.25">
      <c r="A6847" s="57">
        <v>41101902</v>
      </c>
      <c r="B6847" s="58" t="s">
        <v>13471</v>
      </c>
    </row>
    <row r="6848" spans="1:2" x14ac:dyDescent="0.25">
      <c r="A6848" s="57">
        <v>41101903</v>
      </c>
      <c r="B6848" s="58" t="s">
        <v>9828</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9377</v>
      </c>
    </row>
    <row r="6853" spans="1:2" x14ac:dyDescent="0.25">
      <c r="A6853" s="57">
        <v>41102405</v>
      </c>
      <c r="B6853" s="58" t="s">
        <v>13266</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7796</v>
      </c>
    </row>
    <row r="6860" spans="1:2" x14ac:dyDescent="0.25">
      <c r="A6860" s="57">
        <v>41102423</v>
      </c>
      <c r="B6860" s="58" t="s">
        <v>1876</v>
      </c>
    </row>
    <row r="6861" spans="1:2" x14ac:dyDescent="0.25">
      <c r="A6861" s="57">
        <v>41102424</v>
      </c>
      <c r="B6861" s="58" t="s">
        <v>14387</v>
      </c>
    </row>
    <row r="6862" spans="1:2" x14ac:dyDescent="0.25">
      <c r="A6862" s="57">
        <v>41102425</v>
      </c>
      <c r="B6862" s="58" t="s">
        <v>15599</v>
      </c>
    </row>
    <row r="6863" spans="1:2" x14ac:dyDescent="0.25">
      <c r="A6863" s="57">
        <v>41102426</v>
      </c>
      <c r="B6863" s="58" t="s">
        <v>13167</v>
      </c>
    </row>
    <row r="6864" spans="1:2" x14ac:dyDescent="0.25">
      <c r="A6864" s="57">
        <v>41102501</v>
      </c>
      <c r="B6864" s="58" t="s">
        <v>11195</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12219</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12985</v>
      </c>
    </row>
    <row r="6883" spans="1:2" x14ac:dyDescent="0.25">
      <c r="A6883" s="57">
        <v>41102607</v>
      </c>
      <c r="B6883" s="58" t="s">
        <v>10058</v>
      </c>
    </row>
    <row r="6884" spans="1:2" x14ac:dyDescent="0.25">
      <c r="A6884" s="57">
        <v>41102608</v>
      </c>
      <c r="B6884" s="58" t="s">
        <v>15236</v>
      </c>
    </row>
    <row r="6885" spans="1:2" x14ac:dyDescent="0.25">
      <c r="A6885" s="57">
        <v>41102701</v>
      </c>
      <c r="B6885" s="58" t="s">
        <v>16620</v>
      </c>
    </row>
    <row r="6886" spans="1:2" x14ac:dyDescent="0.25">
      <c r="A6886" s="57">
        <v>41102702</v>
      </c>
      <c r="B6886" s="58" t="s">
        <v>11471</v>
      </c>
    </row>
    <row r="6887" spans="1:2" x14ac:dyDescent="0.25">
      <c r="A6887" s="57">
        <v>41102703</v>
      </c>
      <c r="B6887" s="58" t="s">
        <v>7516</v>
      </c>
    </row>
    <row r="6888" spans="1:2" x14ac:dyDescent="0.25">
      <c r="A6888" s="57">
        <v>41102704</v>
      </c>
      <c r="B6888" s="58" t="s">
        <v>14138</v>
      </c>
    </row>
    <row r="6889" spans="1:2" x14ac:dyDescent="0.25">
      <c r="A6889" s="57">
        <v>41102705</v>
      </c>
      <c r="B6889" s="58" t="s">
        <v>6947</v>
      </c>
    </row>
    <row r="6890" spans="1:2" x14ac:dyDescent="0.25">
      <c r="A6890" s="57">
        <v>41102706</v>
      </c>
      <c r="B6890" s="58" t="s">
        <v>12381</v>
      </c>
    </row>
    <row r="6891" spans="1:2" x14ac:dyDescent="0.25">
      <c r="A6891" s="57">
        <v>41102901</v>
      </c>
      <c r="B6891" s="58" t="s">
        <v>6701</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10013</v>
      </c>
    </row>
    <row r="6898" spans="1:2" x14ac:dyDescent="0.25">
      <c r="A6898" s="57">
        <v>41102911</v>
      </c>
      <c r="B6898" s="58" t="s">
        <v>9611</v>
      </c>
    </row>
    <row r="6899" spans="1:2" x14ac:dyDescent="0.25">
      <c r="A6899" s="57">
        <v>41102912</v>
      </c>
      <c r="B6899" s="58" t="s">
        <v>12802</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9743</v>
      </c>
    </row>
    <row r="6909" spans="1:2" x14ac:dyDescent="0.25">
      <c r="A6909" s="57">
        <v>41102922</v>
      </c>
      <c r="B6909" s="58" t="s">
        <v>3295</v>
      </c>
    </row>
    <row r="6910" spans="1:2" x14ac:dyDescent="0.25">
      <c r="A6910" s="57">
        <v>41103001</v>
      </c>
      <c r="B6910" s="58" t="s">
        <v>4485</v>
      </c>
    </row>
    <row r="6911" spans="1:2" x14ac:dyDescent="0.25">
      <c r="A6911" s="57">
        <v>41103003</v>
      </c>
      <c r="B6911" s="58" t="s">
        <v>11333</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10158</v>
      </c>
    </row>
    <row r="6917" spans="1:2" x14ac:dyDescent="0.25">
      <c r="A6917" s="57">
        <v>41103010</v>
      </c>
      <c r="B6917" s="58" t="s">
        <v>11900</v>
      </c>
    </row>
    <row r="6918" spans="1:2" x14ac:dyDescent="0.25">
      <c r="A6918" s="57">
        <v>41103011</v>
      </c>
      <c r="B6918" s="58" t="s">
        <v>10270</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11062</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5790</v>
      </c>
    </row>
    <row r="6931" spans="1:2" x14ac:dyDescent="0.25">
      <c r="A6931" s="57">
        <v>41103201</v>
      </c>
      <c r="B6931" s="58" t="s">
        <v>15704</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17147</v>
      </c>
    </row>
    <row r="6936" spans="1:2" x14ac:dyDescent="0.25">
      <c r="A6936" s="57">
        <v>41103207</v>
      </c>
      <c r="B6936" s="58" t="s">
        <v>12518</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10309</v>
      </c>
    </row>
    <row r="6943" spans="1:2" x14ac:dyDescent="0.25">
      <c r="A6943" s="57">
        <v>41103305</v>
      </c>
      <c r="B6943" s="58" t="s">
        <v>3985</v>
      </c>
    </row>
    <row r="6944" spans="1:2" x14ac:dyDescent="0.25">
      <c r="A6944" s="57">
        <v>41103306</v>
      </c>
      <c r="B6944" s="58" t="s">
        <v>14147</v>
      </c>
    </row>
    <row r="6945" spans="1:2" x14ac:dyDescent="0.25">
      <c r="A6945" s="57">
        <v>41103307</v>
      </c>
      <c r="B6945" s="58" t="s">
        <v>11914</v>
      </c>
    </row>
    <row r="6946" spans="1:2" x14ac:dyDescent="0.25">
      <c r="A6946" s="57">
        <v>41103308</v>
      </c>
      <c r="B6946" s="58" t="s">
        <v>12026</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11798</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18640</v>
      </c>
    </row>
    <row r="6966" spans="1:2" x14ac:dyDescent="0.25">
      <c r="A6966" s="57">
        <v>41103413</v>
      </c>
      <c r="B6966" s="58" t="s">
        <v>8790</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11255</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12596</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12491</v>
      </c>
    </row>
    <row r="6991" spans="1:2" x14ac:dyDescent="0.25">
      <c r="A6991" s="57">
        <v>41103712</v>
      </c>
      <c r="B6991" s="58" t="s">
        <v>8052</v>
      </c>
    </row>
    <row r="6992" spans="1:2" x14ac:dyDescent="0.25">
      <c r="A6992" s="57">
        <v>41103713</v>
      </c>
      <c r="B6992" s="58" t="s">
        <v>14271</v>
      </c>
    </row>
    <row r="6993" spans="1:2" x14ac:dyDescent="0.25">
      <c r="A6993" s="57">
        <v>41103714</v>
      </c>
      <c r="B6993" s="58" t="s">
        <v>11325</v>
      </c>
    </row>
    <row r="6994" spans="1:2" x14ac:dyDescent="0.25">
      <c r="A6994" s="57">
        <v>41103715</v>
      </c>
      <c r="B6994" s="58" t="s">
        <v>10400</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12791</v>
      </c>
    </row>
    <row r="7003" spans="1:2" x14ac:dyDescent="0.25">
      <c r="A7003" s="57">
        <v>41103809</v>
      </c>
      <c r="B7003" s="58" t="s">
        <v>16122</v>
      </c>
    </row>
    <row r="7004" spans="1:2" x14ac:dyDescent="0.25">
      <c r="A7004" s="57">
        <v>41103810</v>
      </c>
      <c r="B7004" s="58" t="s">
        <v>11249</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12220</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10960</v>
      </c>
    </row>
    <row r="7017" spans="1:2" x14ac:dyDescent="0.25">
      <c r="A7017" s="57">
        <v>41103907</v>
      </c>
      <c r="B7017" s="58" t="s">
        <v>6398</v>
      </c>
    </row>
    <row r="7018" spans="1:2" x14ac:dyDescent="0.25">
      <c r="A7018" s="57">
        <v>41103908</v>
      </c>
      <c r="B7018" s="58" t="s">
        <v>10308</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10644</v>
      </c>
    </row>
    <row r="7025" spans="1:2" x14ac:dyDescent="0.25">
      <c r="A7025" s="57">
        <v>41104002</v>
      </c>
      <c r="B7025" s="58" t="s">
        <v>15273</v>
      </c>
    </row>
    <row r="7026" spans="1:2" x14ac:dyDescent="0.25">
      <c r="A7026" s="57">
        <v>41104003</v>
      </c>
      <c r="B7026" s="58" t="s">
        <v>6385</v>
      </c>
    </row>
    <row r="7027" spans="1:2" x14ac:dyDescent="0.25">
      <c r="A7027" s="57">
        <v>41104004</v>
      </c>
      <c r="B7027" s="58" t="s">
        <v>11481</v>
      </c>
    </row>
    <row r="7028" spans="1:2" x14ac:dyDescent="0.25">
      <c r="A7028" s="57">
        <v>41104005</v>
      </c>
      <c r="B7028" s="58" t="s">
        <v>4496</v>
      </c>
    </row>
    <row r="7029" spans="1:2" x14ac:dyDescent="0.25">
      <c r="A7029" s="57">
        <v>41104006</v>
      </c>
      <c r="B7029" s="58" t="s">
        <v>8739</v>
      </c>
    </row>
    <row r="7030" spans="1:2" x14ac:dyDescent="0.25">
      <c r="A7030" s="57">
        <v>41104007</v>
      </c>
      <c r="B7030" s="58" t="s">
        <v>13838</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13571</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13203</v>
      </c>
    </row>
    <row r="7044" spans="1:2" x14ac:dyDescent="0.25">
      <c r="A7044" s="57">
        <v>41104101</v>
      </c>
      <c r="B7044" s="58" t="s">
        <v>11935</v>
      </c>
    </row>
    <row r="7045" spans="1:2" x14ac:dyDescent="0.25">
      <c r="A7045" s="57">
        <v>41104102</v>
      </c>
      <c r="B7045" s="58" t="s">
        <v>6739</v>
      </c>
    </row>
    <row r="7046" spans="1:2" x14ac:dyDescent="0.25">
      <c r="A7046" s="57">
        <v>41104103</v>
      </c>
      <c r="B7046" s="58" t="s">
        <v>14675</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11045</v>
      </c>
    </row>
    <row r="7051" spans="1:2" x14ac:dyDescent="0.25">
      <c r="A7051" s="57">
        <v>41104108</v>
      </c>
      <c r="B7051" s="58" t="s">
        <v>9411</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4816</v>
      </c>
    </row>
    <row r="7056" spans="1:2" x14ac:dyDescent="0.25">
      <c r="A7056" s="57">
        <v>41104114</v>
      </c>
      <c r="B7056" s="58" t="s">
        <v>10271</v>
      </c>
    </row>
    <row r="7057" spans="1:2" x14ac:dyDescent="0.25">
      <c r="A7057" s="57">
        <v>41104115</v>
      </c>
      <c r="B7057" s="58" t="s">
        <v>16227</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17769</v>
      </c>
    </row>
    <row r="7067" spans="1:2" x14ac:dyDescent="0.25">
      <c r="A7067" s="57">
        <v>41104201</v>
      </c>
      <c r="B7067" s="58" t="s">
        <v>17488</v>
      </c>
    </row>
    <row r="7068" spans="1:2" x14ac:dyDescent="0.25">
      <c r="A7068" s="57">
        <v>41104202</v>
      </c>
      <c r="B7068" s="58" t="s">
        <v>11929</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12261</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11664</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10094</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11918</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12922</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14194</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13199</v>
      </c>
    </row>
    <row r="7107" spans="1:2" x14ac:dyDescent="0.25">
      <c r="A7107" s="57">
        <v>41104421</v>
      </c>
      <c r="B7107" s="58" t="s">
        <v>10876</v>
      </c>
    </row>
    <row r="7108" spans="1:2" x14ac:dyDescent="0.25">
      <c r="A7108" s="57">
        <v>41104422</v>
      </c>
      <c r="B7108" s="58" t="s">
        <v>15334</v>
      </c>
    </row>
    <row r="7109" spans="1:2" x14ac:dyDescent="0.25">
      <c r="A7109" s="57">
        <v>41104423</v>
      </c>
      <c r="B7109" s="58" t="s">
        <v>12045</v>
      </c>
    </row>
    <row r="7110" spans="1:2" x14ac:dyDescent="0.25">
      <c r="A7110" s="57">
        <v>41104424</v>
      </c>
      <c r="B7110" s="58" t="s">
        <v>8208</v>
      </c>
    </row>
    <row r="7111" spans="1:2" x14ac:dyDescent="0.25">
      <c r="A7111" s="57">
        <v>41104501</v>
      </c>
      <c r="B7111" s="58" t="s">
        <v>17799</v>
      </c>
    </row>
    <row r="7112" spans="1:2" x14ac:dyDescent="0.25">
      <c r="A7112" s="57">
        <v>41104502</v>
      </c>
      <c r="B7112" s="58" t="s">
        <v>31</v>
      </c>
    </row>
    <row r="7113" spans="1:2" x14ac:dyDescent="0.25">
      <c r="A7113" s="57">
        <v>41104503</v>
      </c>
      <c r="B7113" s="58" t="s">
        <v>8408</v>
      </c>
    </row>
    <row r="7114" spans="1:2" x14ac:dyDescent="0.25">
      <c r="A7114" s="57">
        <v>41104504</v>
      </c>
      <c r="B7114" s="58" t="s">
        <v>11473</v>
      </c>
    </row>
    <row r="7115" spans="1:2" x14ac:dyDescent="0.25">
      <c r="A7115" s="57">
        <v>41104505</v>
      </c>
      <c r="B7115" s="58" t="s">
        <v>11191</v>
      </c>
    </row>
    <row r="7116" spans="1:2" x14ac:dyDescent="0.25">
      <c r="A7116" s="57">
        <v>41104506</v>
      </c>
      <c r="B7116" s="58" t="s">
        <v>5661</v>
      </c>
    </row>
    <row r="7117" spans="1:2" x14ac:dyDescent="0.25">
      <c r="A7117" s="57">
        <v>41104507</v>
      </c>
      <c r="B7117" s="58" t="s">
        <v>9126</v>
      </c>
    </row>
    <row r="7118" spans="1:2" x14ac:dyDescent="0.25">
      <c r="A7118" s="57">
        <v>41104508</v>
      </c>
      <c r="B7118" s="58" t="s">
        <v>10971</v>
      </c>
    </row>
    <row r="7119" spans="1:2" x14ac:dyDescent="0.25">
      <c r="A7119" s="57">
        <v>41104509</v>
      </c>
      <c r="B7119" s="58" t="s">
        <v>9021</v>
      </c>
    </row>
    <row r="7120" spans="1:2" x14ac:dyDescent="0.25">
      <c r="A7120" s="57">
        <v>41104510</v>
      </c>
      <c r="B7120" s="58" t="s">
        <v>1748</v>
      </c>
    </row>
    <row r="7121" spans="1:2" x14ac:dyDescent="0.25">
      <c r="A7121" s="57">
        <v>41104511</v>
      </c>
      <c r="B7121" s="58" t="s">
        <v>10953</v>
      </c>
    </row>
    <row r="7122" spans="1:2" x14ac:dyDescent="0.25">
      <c r="A7122" s="57">
        <v>41104512</v>
      </c>
      <c r="B7122" s="58" t="s">
        <v>15533</v>
      </c>
    </row>
    <row r="7123" spans="1:2" x14ac:dyDescent="0.25">
      <c r="A7123" s="57">
        <v>41104601</v>
      </c>
      <c r="B7123" s="58" t="s">
        <v>11457</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10014</v>
      </c>
    </row>
    <row r="7128" spans="1:2" x14ac:dyDescent="0.25">
      <c r="A7128" s="57">
        <v>41104606</v>
      </c>
      <c r="B7128" s="58" t="s">
        <v>5144</v>
      </c>
    </row>
    <row r="7129" spans="1:2" x14ac:dyDescent="0.25">
      <c r="A7129" s="57">
        <v>41104607</v>
      </c>
      <c r="B7129" s="58" t="s">
        <v>6307</v>
      </c>
    </row>
    <row r="7130" spans="1:2" x14ac:dyDescent="0.25">
      <c r="A7130" s="57">
        <v>41104608</v>
      </c>
      <c r="B7130" s="58" t="s">
        <v>11706</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9944</v>
      </c>
    </row>
    <row r="7135" spans="1:2" x14ac:dyDescent="0.25">
      <c r="A7135" s="57">
        <v>41104701</v>
      </c>
      <c r="B7135" s="58" t="s">
        <v>13201</v>
      </c>
    </row>
    <row r="7136" spans="1:2" x14ac:dyDescent="0.25">
      <c r="A7136" s="57">
        <v>41104702</v>
      </c>
      <c r="B7136" s="58" t="s">
        <v>10077</v>
      </c>
    </row>
    <row r="7137" spans="1:2" x14ac:dyDescent="0.25">
      <c r="A7137" s="57">
        <v>41104703</v>
      </c>
      <c r="B7137" s="58" t="s">
        <v>13865</v>
      </c>
    </row>
    <row r="7138" spans="1:2" x14ac:dyDescent="0.25">
      <c r="A7138" s="57">
        <v>41104704</v>
      </c>
      <c r="B7138" s="58" t="s">
        <v>8107</v>
      </c>
    </row>
    <row r="7139" spans="1:2" x14ac:dyDescent="0.25">
      <c r="A7139" s="57">
        <v>41104801</v>
      </c>
      <c r="B7139" s="58" t="s">
        <v>6114</v>
      </c>
    </row>
    <row r="7140" spans="1:2" x14ac:dyDescent="0.25">
      <c r="A7140" s="57">
        <v>41104802</v>
      </c>
      <c r="B7140" s="58" t="s">
        <v>465</v>
      </c>
    </row>
    <row r="7141" spans="1:2" x14ac:dyDescent="0.25">
      <c r="A7141" s="57">
        <v>41104803</v>
      </c>
      <c r="B7141" s="58" t="s">
        <v>11998</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11385</v>
      </c>
    </row>
    <row r="7147" spans="1:2" x14ac:dyDescent="0.25">
      <c r="A7147" s="57">
        <v>41104809</v>
      </c>
      <c r="B7147" s="58" t="s">
        <v>6423</v>
      </c>
    </row>
    <row r="7148" spans="1:2" x14ac:dyDescent="0.25">
      <c r="A7148" s="57">
        <v>41104810</v>
      </c>
      <c r="B7148" s="58" t="s">
        <v>12530</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10089</v>
      </c>
    </row>
    <row r="7156" spans="1:2" x14ac:dyDescent="0.25">
      <c r="A7156" s="57">
        <v>41104901</v>
      </c>
      <c r="B7156" s="58" t="s">
        <v>10187</v>
      </c>
    </row>
    <row r="7157" spans="1:2" x14ac:dyDescent="0.25">
      <c r="A7157" s="57">
        <v>41104902</v>
      </c>
      <c r="B7157" s="58" t="s">
        <v>17633</v>
      </c>
    </row>
    <row r="7158" spans="1:2" x14ac:dyDescent="0.25">
      <c r="A7158" s="57">
        <v>41104903</v>
      </c>
      <c r="B7158" s="58" t="s">
        <v>2294</v>
      </c>
    </row>
    <row r="7159" spans="1:2" x14ac:dyDescent="0.25">
      <c r="A7159" s="57">
        <v>41104904</v>
      </c>
      <c r="B7159" s="58" t="s">
        <v>10858</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10726</v>
      </c>
    </row>
    <row r="7171" spans="1:2" x14ac:dyDescent="0.25">
      <c r="A7171" s="57">
        <v>41104916</v>
      </c>
      <c r="B7171" s="58" t="s">
        <v>7281</v>
      </c>
    </row>
    <row r="7172" spans="1:2" x14ac:dyDescent="0.25">
      <c r="A7172" s="57">
        <v>41104917</v>
      </c>
      <c r="B7172" s="58" t="s">
        <v>10260</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11540</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15408</v>
      </c>
    </row>
    <row r="7193" spans="1:2" x14ac:dyDescent="0.25">
      <c r="A7193" s="57">
        <v>41105106</v>
      </c>
      <c r="B7193" s="58" t="s">
        <v>12140</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9947</v>
      </c>
    </row>
    <row r="7199" spans="1:2" x14ac:dyDescent="0.25">
      <c r="A7199" s="57">
        <v>41105203</v>
      </c>
      <c r="B7199" s="58" t="s">
        <v>3117</v>
      </c>
    </row>
    <row r="7200" spans="1:2" x14ac:dyDescent="0.25">
      <c r="A7200" s="57">
        <v>41105204</v>
      </c>
      <c r="B7200" s="58" t="s">
        <v>17518</v>
      </c>
    </row>
    <row r="7201" spans="1:2" x14ac:dyDescent="0.25">
      <c r="A7201" s="57">
        <v>41105205</v>
      </c>
      <c r="B7201" s="58" t="s">
        <v>4921</v>
      </c>
    </row>
    <row r="7202" spans="1:2" x14ac:dyDescent="0.25">
      <c r="A7202" s="57">
        <v>41105301</v>
      </c>
      <c r="B7202" s="58" t="s">
        <v>11142</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12942</v>
      </c>
    </row>
    <row r="7212" spans="1:2" x14ac:dyDescent="0.25">
      <c r="A7212" s="57">
        <v>41105312</v>
      </c>
      <c r="B7212" s="58" t="s">
        <v>5158</v>
      </c>
    </row>
    <row r="7213" spans="1:2" x14ac:dyDescent="0.25">
      <c r="A7213" s="57">
        <v>41105313</v>
      </c>
      <c r="B7213" s="58" t="s">
        <v>3221</v>
      </c>
    </row>
    <row r="7214" spans="1:2" x14ac:dyDescent="0.25">
      <c r="A7214" s="57">
        <v>41105314</v>
      </c>
      <c r="B7214" s="58" t="s">
        <v>13912</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11169</v>
      </c>
    </row>
    <row r="7227" spans="1:2" x14ac:dyDescent="0.25">
      <c r="A7227" s="57">
        <v>41105327</v>
      </c>
      <c r="B7227" s="58" t="s">
        <v>4415</v>
      </c>
    </row>
    <row r="7228" spans="1:2" x14ac:dyDescent="0.25">
      <c r="A7228" s="57">
        <v>41105328</v>
      </c>
      <c r="B7228" s="58" t="s">
        <v>12179</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11629</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12081</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10025</v>
      </c>
    </row>
    <row r="7243" spans="1:2" x14ac:dyDescent="0.25">
      <c r="A7243" s="57">
        <v>41105504</v>
      </c>
      <c r="B7243" s="58" t="s">
        <v>8777</v>
      </c>
    </row>
    <row r="7244" spans="1:2" x14ac:dyDescent="0.25">
      <c r="A7244" s="57">
        <v>41105505</v>
      </c>
      <c r="B7244" s="58" t="s">
        <v>16095</v>
      </c>
    </row>
    <row r="7245" spans="1:2" x14ac:dyDescent="0.25">
      <c r="A7245" s="57">
        <v>41105506</v>
      </c>
      <c r="B7245" s="58" t="s">
        <v>11622</v>
      </c>
    </row>
    <row r="7246" spans="1:2" x14ac:dyDescent="0.25">
      <c r="A7246" s="57">
        <v>41105507</v>
      </c>
      <c r="B7246" s="58" t="s">
        <v>1860</v>
      </c>
    </row>
    <row r="7247" spans="1:2" x14ac:dyDescent="0.25">
      <c r="A7247" s="57">
        <v>41105508</v>
      </c>
      <c r="B7247" s="58" t="s">
        <v>10306</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11404</v>
      </c>
    </row>
    <row r="7253" spans="1:2" x14ac:dyDescent="0.25">
      <c r="A7253" s="57">
        <v>41105514</v>
      </c>
      <c r="B7253" s="58" t="s">
        <v>5798</v>
      </c>
    </row>
    <row r="7254" spans="1:2" x14ac:dyDescent="0.25">
      <c r="A7254" s="57">
        <v>41105515</v>
      </c>
      <c r="B7254" s="58" t="s">
        <v>7956</v>
      </c>
    </row>
    <row r="7255" spans="1:2" x14ac:dyDescent="0.25">
      <c r="A7255" s="57">
        <v>41105516</v>
      </c>
      <c r="B7255" s="58" t="s">
        <v>9665</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17482</v>
      </c>
    </row>
    <row r="7262" spans="1:2" x14ac:dyDescent="0.25">
      <c r="A7262" s="57">
        <v>41105801</v>
      </c>
      <c r="B7262" s="58" t="s">
        <v>5472</v>
      </c>
    </row>
    <row r="7263" spans="1:2" x14ac:dyDescent="0.25">
      <c r="A7263" s="57">
        <v>41105802</v>
      </c>
      <c r="B7263" s="58" t="s">
        <v>4364</v>
      </c>
    </row>
    <row r="7264" spans="1:2" x14ac:dyDescent="0.25">
      <c r="A7264" s="57">
        <v>41105803</v>
      </c>
      <c r="B7264" s="58" t="s">
        <v>11888</v>
      </c>
    </row>
    <row r="7265" spans="1:2" x14ac:dyDescent="0.25">
      <c r="A7265" s="57">
        <v>41105804</v>
      </c>
      <c r="B7265" s="58" t="s">
        <v>8476</v>
      </c>
    </row>
    <row r="7266" spans="1:2" x14ac:dyDescent="0.25">
      <c r="A7266" s="57">
        <v>41105901</v>
      </c>
      <c r="B7266" s="58" t="s">
        <v>438</v>
      </c>
    </row>
    <row r="7267" spans="1:2" x14ac:dyDescent="0.25">
      <c r="A7267" s="57">
        <v>41105902</v>
      </c>
      <c r="B7267" s="58" t="s">
        <v>12577</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12736</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14299</v>
      </c>
    </row>
    <row r="7283" spans="1:2" x14ac:dyDescent="0.25">
      <c r="A7283" s="57">
        <v>41106104</v>
      </c>
      <c r="B7283" s="58" t="s">
        <v>16520</v>
      </c>
    </row>
    <row r="7284" spans="1:2" x14ac:dyDescent="0.25">
      <c r="A7284" s="57">
        <v>41106201</v>
      </c>
      <c r="B7284" s="58" t="s">
        <v>8895</v>
      </c>
    </row>
    <row r="7285" spans="1:2" x14ac:dyDescent="0.25">
      <c r="A7285" s="57">
        <v>41106202</v>
      </c>
      <c r="B7285" s="58" t="s">
        <v>11854</v>
      </c>
    </row>
    <row r="7286" spans="1:2" x14ac:dyDescent="0.25">
      <c r="A7286" s="57">
        <v>41106203</v>
      </c>
      <c r="B7286" s="58" t="s">
        <v>6806</v>
      </c>
    </row>
    <row r="7287" spans="1:2" x14ac:dyDescent="0.25">
      <c r="A7287" s="57">
        <v>41106204</v>
      </c>
      <c r="B7287" s="58" t="s">
        <v>11296</v>
      </c>
    </row>
    <row r="7288" spans="1:2" x14ac:dyDescent="0.25">
      <c r="A7288" s="57">
        <v>41106205</v>
      </c>
      <c r="B7288" s="58" t="s">
        <v>10253</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11543</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12953</v>
      </c>
    </row>
    <row r="7305" spans="1:2" x14ac:dyDescent="0.25">
      <c r="A7305" s="57">
        <v>41106222</v>
      </c>
      <c r="B7305" s="58" t="s">
        <v>4000</v>
      </c>
    </row>
    <row r="7306" spans="1:2" x14ac:dyDescent="0.25">
      <c r="A7306" s="57">
        <v>41106223</v>
      </c>
      <c r="B7306" s="58" t="s">
        <v>7244</v>
      </c>
    </row>
    <row r="7307" spans="1:2" x14ac:dyDescent="0.25">
      <c r="A7307" s="57">
        <v>41106301</v>
      </c>
      <c r="B7307" s="58" t="s">
        <v>12176</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12906</v>
      </c>
    </row>
    <row r="7314" spans="1:2" x14ac:dyDescent="0.25">
      <c r="A7314" s="57">
        <v>41106308</v>
      </c>
      <c r="B7314" s="58" t="s">
        <v>10968</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12904</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12173</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11022</v>
      </c>
    </row>
    <row r="7342" spans="1:2" x14ac:dyDescent="0.25">
      <c r="A7342" s="57">
        <v>41106604</v>
      </c>
      <c r="B7342" s="58" t="s">
        <v>12155</v>
      </c>
    </row>
    <row r="7343" spans="1:2" x14ac:dyDescent="0.25">
      <c r="A7343" s="57">
        <v>41106605</v>
      </c>
      <c r="B7343" s="58" t="s">
        <v>12485</v>
      </c>
    </row>
    <row r="7344" spans="1:2" x14ac:dyDescent="0.25">
      <c r="A7344" s="57">
        <v>41106606</v>
      </c>
      <c r="B7344" s="58" t="s">
        <v>13056</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12792</v>
      </c>
    </row>
    <row r="7357" spans="1:2" x14ac:dyDescent="0.25">
      <c r="A7357" s="57">
        <v>41106619</v>
      </c>
      <c r="B7357" s="58" t="s">
        <v>12786</v>
      </c>
    </row>
    <row r="7358" spans="1:2" x14ac:dyDescent="0.25">
      <c r="A7358" s="57">
        <v>41106620</v>
      </c>
      <c r="B7358" s="58" t="s">
        <v>16544</v>
      </c>
    </row>
    <row r="7359" spans="1:2" x14ac:dyDescent="0.25">
      <c r="A7359" s="57">
        <v>41106621</v>
      </c>
      <c r="B7359" s="58" t="s">
        <v>5042</v>
      </c>
    </row>
    <row r="7360" spans="1:2" x14ac:dyDescent="0.25">
      <c r="A7360" s="57">
        <v>41106622</v>
      </c>
      <c r="B7360" s="58" t="s">
        <v>12117</v>
      </c>
    </row>
    <row r="7361" spans="1:2" x14ac:dyDescent="0.25">
      <c r="A7361" s="57">
        <v>41111501</v>
      </c>
      <c r="B7361" s="58" t="s">
        <v>1096</v>
      </c>
    </row>
    <row r="7362" spans="1:2" x14ac:dyDescent="0.25">
      <c r="A7362" s="57">
        <v>41111502</v>
      </c>
      <c r="B7362" s="58" t="s">
        <v>13240</v>
      </c>
    </row>
    <row r="7363" spans="1:2" x14ac:dyDescent="0.25">
      <c r="A7363" s="57">
        <v>41111503</v>
      </c>
      <c r="B7363" s="58" t="s">
        <v>11735</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17608</v>
      </c>
    </row>
    <row r="7373" spans="1:2" x14ac:dyDescent="0.25">
      <c r="A7373" s="57">
        <v>41111513</v>
      </c>
      <c r="B7373" s="58" t="s">
        <v>15383</v>
      </c>
    </row>
    <row r="7374" spans="1:2" x14ac:dyDescent="0.25">
      <c r="A7374" s="57">
        <v>41111515</v>
      </c>
      <c r="B7374" s="58" t="s">
        <v>7350</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12068</v>
      </c>
    </row>
    <row r="7390" spans="1:2" x14ac:dyDescent="0.25">
      <c r="A7390" s="57">
        <v>41111619</v>
      </c>
      <c r="B7390" s="58" t="s">
        <v>13619</v>
      </c>
    </row>
    <row r="7391" spans="1:2" x14ac:dyDescent="0.25">
      <c r="A7391" s="57">
        <v>41111620</v>
      </c>
      <c r="B7391" s="58" t="s">
        <v>10867</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13334</v>
      </c>
    </row>
    <row r="7396" spans="1:2" x14ac:dyDescent="0.25">
      <c r="A7396" s="57">
        <v>41111702</v>
      </c>
      <c r="B7396" s="58" t="s">
        <v>8558</v>
      </c>
    </row>
    <row r="7397" spans="1:2" x14ac:dyDescent="0.25">
      <c r="A7397" s="57">
        <v>41111703</v>
      </c>
      <c r="B7397" s="58" t="s">
        <v>10497</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10916</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6000</v>
      </c>
    </row>
    <row r="7417" spans="1:2" x14ac:dyDescent="0.25">
      <c r="A7417" s="57">
        <v>41111723</v>
      </c>
      <c r="B7417" s="58" t="s">
        <v>10443</v>
      </c>
    </row>
    <row r="7418" spans="1:2" x14ac:dyDescent="0.25">
      <c r="A7418" s="57">
        <v>41111724</v>
      </c>
      <c r="B7418" s="58" t="s">
        <v>13496</v>
      </c>
    </row>
    <row r="7419" spans="1:2" x14ac:dyDescent="0.25">
      <c r="A7419" s="57">
        <v>41111725</v>
      </c>
      <c r="B7419" s="58" t="s">
        <v>18080</v>
      </c>
    </row>
    <row r="7420" spans="1:2" x14ac:dyDescent="0.25">
      <c r="A7420" s="57">
        <v>41111726</v>
      </c>
      <c r="B7420" s="58" t="s">
        <v>12742</v>
      </c>
    </row>
    <row r="7421" spans="1:2" x14ac:dyDescent="0.25">
      <c r="A7421" s="57">
        <v>41111727</v>
      </c>
      <c r="B7421" s="58" t="s">
        <v>4775</v>
      </c>
    </row>
    <row r="7422" spans="1:2" x14ac:dyDescent="0.25">
      <c r="A7422" s="57">
        <v>41111728</v>
      </c>
      <c r="B7422" s="58" t="s">
        <v>5139</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13165</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10151</v>
      </c>
    </row>
    <row r="7441" spans="1:2" x14ac:dyDescent="0.25">
      <c r="A7441" s="57">
        <v>41111809</v>
      </c>
      <c r="B7441" s="58" t="s">
        <v>14403</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14240</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8202</v>
      </c>
    </row>
    <row r="7452" spans="1:2" x14ac:dyDescent="0.25">
      <c r="A7452" s="57">
        <v>41111911</v>
      </c>
      <c r="B7452" s="58" t="s">
        <v>14569</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13028</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5945</v>
      </c>
    </row>
    <row r="7463" spans="1:2" x14ac:dyDescent="0.25">
      <c r="A7463" s="57">
        <v>41111922</v>
      </c>
      <c r="B7463" s="58" t="s">
        <v>17647</v>
      </c>
    </row>
    <row r="7464" spans="1:2" x14ac:dyDescent="0.25">
      <c r="A7464" s="57">
        <v>41111923</v>
      </c>
      <c r="B7464" s="58" t="s">
        <v>10523</v>
      </c>
    </row>
    <row r="7465" spans="1:2" x14ac:dyDescent="0.25">
      <c r="A7465" s="57">
        <v>41111924</v>
      </c>
      <c r="B7465" s="58" t="s">
        <v>5376</v>
      </c>
    </row>
    <row r="7466" spans="1:2" x14ac:dyDescent="0.25">
      <c r="A7466" s="57">
        <v>41111926</v>
      </c>
      <c r="B7466" s="58" t="s">
        <v>8141</v>
      </c>
    </row>
    <row r="7467" spans="1:2" x14ac:dyDescent="0.25">
      <c r="A7467" s="57">
        <v>41111927</v>
      </c>
      <c r="B7467" s="58" t="s">
        <v>6181</v>
      </c>
    </row>
    <row r="7468" spans="1:2" x14ac:dyDescent="0.25">
      <c r="A7468" s="57">
        <v>41111928</v>
      </c>
      <c r="B7468" s="58" t="s">
        <v>3862</v>
      </c>
    </row>
    <row r="7469" spans="1:2" x14ac:dyDescent="0.25">
      <c r="A7469" s="57">
        <v>41111929</v>
      </c>
      <c r="B7469" s="58" t="s">
        <v>9951</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12875</v>
      </c>
    </row>
    <row r="7484" spans="1:2" x14ac:dyDescent="0.25">
      <c r="A7484" s="57">
        <v>41111944</v>
      </c>
      <c r="B7484" s="58" t="s">
        <v>5548</v>
      </c>
    </row>
    <row r="7485" spans="1:2" x14ac:dyDescent="0.25">
      <c r="A7485" s="57">
        <v>41111945</v>
      </c>
      <c r="B7485" s="58" t="s">
        <v>10279</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11975</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12238</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11798</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7505</v>
      </c>
    </row>
    <row r="7525" spans="1:2" x14ac:dyDescent="0.25">
      <c r="A7525" s="57">
        <v>41112406</v>
      </c>
      <c r="B7525" s="58" t="s">
        <v>10278</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10785</v>
      </c>
    </row>
    <row r="7534" spans="1:2" x14ac:dyDescent="0.25">
      <c r="A7534" s="57">
        <v>41112504</v>
      </c>
      <c r="B7534" s="58" t="s">
        <v>5689</v>
      </c>
    </row>
    <row r="7535" spans="1:2" x14ac:dyDescent="0.25">
      <c r="A7535" s="57">
        <v>41112505</v>
      </c>
      <c r="B7535" s="58" t="s">
        <v>15168</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12396</v>
      </c>
    </row>
    <row r="7548" spans="1:2" x14ac:dyDescent="0.25">
      <c r="A7548" s="57">
        <v>41112702</v>
      </c>
      <c r="B7548" s="58" t="s">
        <v>15189</v>
      </c>
    </row>
    <row r="7549" spans="1:2" x14ac:dyDescent="0.25">
      <c r="A7549" s="57">
        <v>41112704</v>
      </c>
      <c r="B7549" s="58" t="s">
        <v>14022</v>
      </c>
    </row>
    <row r="7550" spans="1:2" x14ac:dyDescent="0.25">
      <c r="A7550" s="57">
        <v>41112801</v>
      </c>
      <c r="B7550" s="58" t="s">
        <v>14881</v>
      </c>
    </row>
    <row r="7551" spans="1:2" x14ac:dyDescent="0.25">
      <c r="A7551" s="57">
        <v>41112802</v>
      </c>
      <c r="B7551" s="58" t="s">
        <v>2962</v>
      </c>
    </row>
    <row r="7552" spans="1:2" x14ac:dyDescent="0.25">
      <c r="A7552" s="57">
        <v>41112803</v>
      </c>
      <c r="B7552" s="58" t="s">
        <v>17327</v>
      </c>
    </row>
    <row r="7553" spans="1:2" x14ac:dyDescent="0.25">
      <c r="A7553" s="57">
        <v>41112901</v>
      </c>
      <c r="B7553" s="58" t="s">
        <v>13265</v>
      </c>
    </row>
    <row r="7554" spans="1:2" x14ac:dyDescent="0.25">
      <c r="A7554" s="57">
        <v>41112902</v>
      </c>
      <c r="B7554" s="58" t="s">
        <v>10786</v>
      </c>
    </row>
    <row r="7555" spans="1:2" x14ac:dyDescent="0.25">
      <c r="A7555" s="57">
        <v>41112903</v>
      </c>
      <c r="B7555" s="58" t="s">
        <v>1467</v>
      </c>
    </row>
    <row r="7556" spans="1:2" x14ac:dyDescent="0.25">
      <c r="A7556" s="57">
        <v>41112904</v>
      </c>
      <c r="B7556" s="58" t="s">
        <v>12462</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11597</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14530</v>
      </c>
    </row>
    <row r="7565" spans="1:2" x14ac:dyDescent="0.25">
      <c r="A7565" s="57">
        <v>41113009</v>
      </c>
      <c r="B7565" s="58" t="s">
        <v>15186</v>
      </c>
    </row>
    <row r="7566" spans="1:2" x14ac:dyDescent="0.25">
      <c r="A7566" s="57">
        <v>41113010</v>
      </c>
      <c r="B7566" s="58" t="s">
        <v>17730</v>
      </c>
    </row>
    <row r="7567" spans="1:2" x14ac:dyDescent="0.25">
      <c r="A7567" s="57">
        <v>41113023</v>
      </c>
      <c r="B7567" s="58" t="s">
        <v>10949</v>
      </c>
    </row>
    <row r="7568" spans="1:2" x14ac:dyDescent="0.25">
      <c r="A7568" s="57">
        <v>41113024</v>
      </c>
      <c r="B7568" s="58" t="s">
        <v>11282</v>
      </c>
    </row>
    <row r="7569" spans="1:2" x14ac:dyDescent="0.25">
      <c r="A7569" s="57">
        <v>41113025</v>
      </c>
      <c r="B7569" s="58" t="s">
        <v>8273</v>
      </c>
    </row>
    <row r="7570" spans="1:2" x14ac:dyDescent="0.25">
      <c r="A7570" s="57">
        <v>41113026</v>
      </c>
      <c r="B7570" s="58" t="s">
        <v>2162</v>
      </c>
    </row>
    <row r="7571" spans="1:2" x14ac:dyDescent="0.25">
      <c r="A7571" s="57">
        <v>41113027</v>
      </c>
      <c r="B7571" s="58" t="s">
        <v>13146</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11677</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13188</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16294</v>
      </c>
    </row>
    <row r="7587" spans="1:2" x14ac:dyDescent="0.25">
      <c r="A7587" s="57">
        <v>41113108</v>
      </c>
      <c r="B7587" s="58" t="s">
        <v>7300</v>
      </c>
    </row>
    <row r="7588" spans="1:2" x14ac:dyDescent="0.25">
      <c r="A7588" s="57">
        <v>41113109</v>
      </c>
      <c r="B7588" s="58" t="s">
        <v>12905</v>
      </c>
    </row>
    <row r="7589" spans="1:2" x14ac:dyDescent="0.25">
      <c r="A7589" s="57">
        <v>41113110</v>
      </c>
      <c r="B7589" s="58" t="s">
        <v>5335</v>
      </c>
    </row>
    <row r="7590" spans="1:2" x14ac:dyDescent="0.25">
      <c r="A7590" s="57">
        <v>41113111</v>
      </c>
      <c r="B7590" s="58" t="s">
        <v>11015</v>
      </c>
    </row>
    <row r="7591" spans="1:2" x14ac:dyDescent="0.25">
      <c r="A7591" s="57">
        <v>41113112</v>
      </c>
      <c r="B7591" s="58" t="s">
        <v>13185</v>
      </c>
    </row>
    <row r="7592" spans="1:2" x14ac:dyDescent="0.25">
      <c r="A7592" s="57">
        <v>41113113</v>
      </c>
      <c r="B7592" s="58" t="s">
        <v>15788</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10150</v>
      </c>
    </row>
    <row r="7600" spans="1:2" x14ac:dyDescent="0.25">
      <c r="A7600" s="57">
        <v>41113302</v>
      </c>
      <c r="B7600" s="58" t="s">
        <v>8489</v>
      </c>
    </row>
    <row r="7601" spans="1:2" x14ac:dyDescent="0.25">
      <c r="A7601" s="57">
        <v>41113304</v>
      </c>
      <c r="B7601" s="58" t="s">
        <v>14410</v>
      </c>
    </row>
    <row r="7602" spans="1:2" x14ac:dyDescent="0.25">
      <c r="A7602" s="57">
        <v>41113305</v>
      </c>
      <c r="B7602" s="58" t="s">
        <v>9682</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9856</v>
      </c>
    </row>
    <row r="7607" spans="1:2" x14ac:dyDescent="0.25">
      <c r="A7607" s="57">
        <v>41113311</v>
      </c>
      <c r="B7607" s="58" t="s">
        <v>16623</v>
      </c>
    </row>
    <row r="7608" spans="1:2" x14ac:dyDescent="0.25">
      <c r="A7608" s="57">
        <v>41113312</v>
      </c>
      <c r="B7608" s="58" t="s">
        <v>12274</v>
      </c>
    </row>
    <row r="7609" spans="1:2" x14ac:dyDescent="0.25">
      <c r="A7609" s="57">
        <v>41113313</v>
      </c>
      <c r="B7609" s="58" t="s">
        <v>6198</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11261</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5783</v>
      </c>
    </row>
    <row r="7633" spans="1:2" x14ac:dyDescent="0.25">
      <c r="A7633" s="57">
        <v>41113608</v>
      </c>
      <c r="B7633" s="58" t="s">
        <v>10375</v>
      </c>
    </row>
    <row r="7634" spans="1:2" x14ac:dyDescent="0.25">
      <c r="A7634" s="57">
        <v>41113611</v>
      </c>
      <c r="B7634" s="58" t="s">
        <v>12439</v>
      </c>
    </row>
    <row r="7635" spans="1:2" x14ac:dyDescent="0.25">
      <c r="A7635" s="57">
        <v>41113612</v>
      </c>
      <c r="B7635" s="58" t="s">
        <v>9363</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14161</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10272</v>
      </c>
    </row>
    <row r="7648" spans="1:2" x14ac:dyDescent="0.25">
      <c r="A7648" s="57">
        <v>41113625</v>
      </c>
      <c r="B7648" s="58" t="s">
        <v>16671</v>
      </c>
    </row>
    <row r="7649" spans="1:2" x14ac:dyDescent="0.25">
      <c r="A7649" s="57">
        <v>41113626</v>
      </c>
      <c r="B7649" s="58" t="s">
        <v>9847</v>
      </c>
    </row>
    <row r="7650" spans="1:2" x14ac:dyDescent="0.25">
      <c r="A7650" s="57">
        <v>41113627</v>
      </c>
      <c r="B7650" s="58" t="s">
        <v>6967</v>
      </c>
    </row>
    <row r="7651" spans="1:2" x14ac:dyDescent="0.25">
      <c r="A7651" s="57">
        <v>41113628</v>
      </c>
      <c r="B7651" s="58" t="s">
        <v>10175</v>
      </c>
    </row>
    <row r="7652" spans="1:2" x14ac:dyDescent="0.25">
      <c r="A7652" s="57">
        <v>41113629</v>
      </c>
      <c r="B7652" s="58" t="s">
        <v>3315</v>
      </c>
    </row>
    <row r="7653" spans="1:2" x14ac:dyDescent="0.25">
      <c r="A7653" s="57">
        <v>41113630</v>
      </c>
      <c r="B7653" s="58" t="s">
        <v>3820</v>
      </c>
    </row>
    <row r="7654" spans="1:2" x14ac:dyDescent="0.25">
      <c r="A7654" s="57">
        <v>41113631</v>
      </c>
      <c r="B7654" s="58" t="s">
        <v>10937</v>
      </c>
    </row>
    <row r="7655" spans="1:2" x14ac:dyDescent="0.25">
      <c r="A7655" s="57">
        <v>41113632</v>
      </c>
      <c r="B7655" s="58" t="s">
        <v>14464</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11355</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10250</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13549</v>
      </c>
    </row>
    <row r="7670" spans="1:2" x14ac:dyDescent="0.25">
      <c r="A7670" s="57">
        <v>41113647</v>
      </c>
      <c r="B7670" s="58" t="s">
        <v>11289</v>
      </c>
    </row>
    <row r="7671" spans="1:2" x14ac:dyDescent="0.25">
      <c r="A7671" s="57">
        <v>41113648</v>
      </c>
      <c r="B7671" s="58" t="s">
        <v>14367</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9952</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11091</v>
      </c>
    </row>
    <row r="7680" spans="1:2" x14ac:dyDescent="0.25">
      <c r="A7680" s="57">
        <v>41113709</v>
      </c>
      <c r="B7680" s="58" t="s">
        <v>1848</v>
      </c>
    </row>
    <row r="7681" spans="1:2" x14ac:dyDescent="0.25">
      <c r="A7681" s="57">
        <v>41113710</v>
      </c>
      <c r="B7681" s="58" t="s">
        <v>14422</v>
      </c>
    </row>
    <row r="7682" spans="1:2" x14ac:dyDescent="0.25">
      <c r="A7682" s="57">
        <v>41113711</v>
      </c>
      <c r="B7682" s="58" t="s">
        <v>11619</v>
      </c>
    </row>
    <row r="7683" spans="1:2" x14ac:dyDescent="0.25">
      <c r="A7683" s="57">
        <v>41113712</v>
      </c>
      <c r="B7683" s="58" t="s">
        <v>17170</v>
      </c>
    </row>
    <row r="7684" spans="1:2" x14ac:dyDescent="0.25">
      <c r="A7684" s="57">
        <v>41113713</v>
      </c>
      <c r="B7684" s="58" t="s">
        <v>11312</v>
      </c>
    </row>
    <row r="7685" spans="1:2" x14ac:dyDescent="0.25">
      <c r="A7685" s="57">
        <v>41113714</v>
      </c>
      <c r="B7685" s="58" t="s">
        <v>4924</v>
      </c>
    </row>
    <row r="7686" spans="1:2" x14ac:dyDescent="0.25">
      <c r="A7686" s="57">
        <v>41113715</v>
      </c>
      <c r="B7686" s="58" t="s">
        <v>1386</v>
      </c>
    </row>
    <row r="7687" spans="1:2" x14ac:dyDescent="0.25">
      <c r="A7687" s="57">
        <v>41113716</v>
      </c>
      <c r="B7687" s="58" t="s">
        <v>17369</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10228</v>
      </c>
    </row>
    <row r="7697" spans="1:2" x14ac:dyDescent="0.25">
      <c r="A7697" s="57">
        <v>41113808</v>
      </c>
      <c r="B7697" s="58" t="s">
        <v>14335</v>
      </c>
    </row>
    <row r="7698" spans="1:2" x14ac:dyDescent="0.25">
      <c r="A7698" s="57">
        <v>41113901</v>
      </c>
      <c r="B7698" s="58" t="s">
        <v>10806</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17656</v>
      </c>
    </row>
    <row r="7703" spans="1:2" x14ac:dyDescent="0.25">
      <c r="A7703" s="57">
        <v>41113906</v>
      </c>
      <c r="B7703" s="58" t="s">
        <v>9068</v>
      </c>
    </row>
    <row r="7704" spans="1:2" x14ac:dyDescent="0.25">
      <c r="A7704" s="57">
        <v>41113907</v>
      </c>
      <c r="B7704" s="58" t="s">
        <v>2912</v>
      </c>
    </row>
    <row r="7705" spans="1:2" x14ac:dyDescent="0.25">
      <c r="A7705" s="57">
        <v>41113908</v>
      </c>
      <c r="B7705" s="58" t="s">
        <v>17694</v>
      </c>
    </row>
    <row r="7706" spans="1:2" x14ac:dyDescent="0.25">
      <c r="A7706" s="57">
        <v>41113909</v>
      </c>
      <c r="B7706" s="58" t="s">
        <v>7444</v>
      </c>
    </row>
    <row r="7707" spans="1:2" x14ac:dyDescent="0.25">
      <c r="A7707" s="57">
        <v>41113910</v>
      </c>
      <c r="B7707" s="58" t="s">
        <v>13306</v>
      </c>
    </row>
    <row r="7708" spans="1:2" x14ac:dyDescent="0.25">
      <c r="A7708" s="57">
        <v>41114001</v>
      </c>
      <c r="B7708" s="58" t="s">
        <v>10515</v>
      </c>
    </row>
    <row r="7709" spans="1:2" x14ac:dyDescent="0.25">
      <c r="A7709" s="57">
        <v>41114102</v>
      </c>
      <c r="B7709" s="58" t="s">
        <v>4669</v>
      </c>
    </row>
    <row r="7710" spans="1:2" x14ac:dyDescent="0.25">
      <c r="A7710" s="57">
        <v>41114103</v>
      </c>
      <c r="B7710" s="58" t="s">
        <v>14122</v>
      </c>
    </row>
    <row r="7711" spans="1:2" x14ac:dyDescent="0.25">
      <c r="A7711" s="57">
        <v>41114104</v>
      </c>
      <c r="B7711" s="58" t="s">
        <v>8195</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11620</v>
      </c>
    </row>
    <row r="7722" spans="1:2" x14ac:dyDescent="0.25">
      <c r="A7722" s="57">
        <v>41114301</v>
      </c>
      <c r="B7722" s="58" t="s">
        <v>4210</v>
      </c>
    </row>
    <row r="7723" spans="1:2" x14ac:dyDescent="0.25">
      <c r="A7723" s="57">
        <v>41114302</v>
      </c>
      <c r="B7723" s="58" t="s">
        <v>17423</v>
      </c>
    </row>
    <row r="7724" spans="1:2" x14ac:dyDescent="0.25">
      <c r="A7724" s="57">
        <v>41114303</v>
      </c>
      <c r="B7724" s="58" t="s">
        <v>15567</v>
      </c>
    </row>
    <row r="7725" spans="1:2" x14ac:dyDescent="0.25">
      <c r="A7725" s="57">
        <v>41114401</v>
      </c>
      <c r="B7725" s="58" t="s">
        <v>10977</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12517</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11851</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10371</v>
      </c>
    </row>
    <row r="7748" spans="1:2" x14ac:dyDescent="0.25">
      <c r="A7748" s="57">
        <v>41114603</v>
      </c>
      <c r="B7748" s="58" t="s">
        <v>4358</v>
      </c>
    </row>
    <row r="7749" spans="1:2" x14ac:dyDescent="0.25">
      <c r="A7749" s="57">
        <v>41114604</v>
      </c>
      <c r="B7749" s="58" t="s">
        <v>11613</v>
      </c>
    </row>
    <row r="7750" spans="1:2" x14ac:dyDescent="0.25">
      <c r="A7750" s="57">
        <v>41114605</v>
      </c>
      <c r="B7750" s="58" t="s">
        <v>5862</v>
      </c>
    </row>
    <row r="7751" spans="1:2" x14ac:dyDescent="0.25">
      <c r="A7751" s="57">
        <v>41114606</v>
      </c>
      <c r="B7751" s="58" t="s">
        <v>1626</v>
      </c>
    </row>
    <row r="7752" spans="1:2" x14ac:dyDescent="0.25">
      <c r="A7752" s="57">
        <v>41114607</v>
      </c>
      <c r="B7752" s="58" t="s">
        <v>9178</v>
      </c>
    </row>
    <row r="7753" spans="1:2" x14ac:dyDescent="0.25">
      <c r="A7753" s="57">
        <v>41114608</v>
      </c>
      <c r="B7753" s="58" t="s">
        <v>11792</v>
      </c>
    </row>
    <row r="7754" spans="1:2" x14ac:dyDescent="0.25">
      <c r="A7754" s="57">
        <v>41114609</v>
      </c>
      <c r="B7754" s="58" t="s">
        <v>5628</v>
      </c>
    </row>
    <row r="7755" spans="1:2" x14ac:dyDescent="0.25">
      <c r="A7755" s="57">
        <v>41114610</v>
      </c>
      <c r="B7755" s="58" t="s">
        <v>10493</v>
      </c>
    </row>
    <row r="7756" spans="1:2" x14ac:dyDescent="0.25">
      <c r="A7756" s="57">
        <v>41114611</v>
      </c>
      <c r="B7756" s="58" t="s">
        <v>11431</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11498</v>
      </c>
    </row>
    <row r="7764" spans="1:2" x14ac:dyDescent="0.25">
      <c r="A7764" s="57">
        <v>41114619</v>
      </c>
      <c r="B7764" s="58" t="s">
        <v>16766</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10349</v>
      </c>
    </row>
    <row r="7770" spans="1:2" x14ac:dyDescent="0.25">
      <c r="A7770" s="57">
        <v>41114625</v>
      </c>
      <c r="B7770" s="58" t="s">
        <v>9867</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10180</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12987</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4783</v>
      </c>
    </row>
    <row r="7790" spans="1:2" x14ac:dyDescent="0.25">
      <c r="A7790" s="57">
        <v>41115307</v>
      </c>
      <c r="B7790" s="58" t="s">
        <v>11738</v>
      </c>
    </row>
    <row r="7791" spans="1:2" x14ac:dyDescent="0.25">
      <c r="A7791" s="57">
        <v>41115308</v>
      </c>
      <c r="B7791" s="58" t="s">
        <v>5627</v>
      </c>
    </row>
    <row r="7792" spans="1:2" x14ac:dyDescent="0.25">
      <c r="A7792" s="57">
        <v>41115309</v>
      </c>
      <c r="B7792" s="58" t="s">
        <v>11782</v>
      </c>
    </row>
    <row r="7793" spans="1:2" x14ac:dyDescent="0.25">
      <c r="A7793" s="57">
        <v>41115310</v>
      </c>
      <c r="B7793" s="58" t="s">
        <v>6815</v>
      </c>
    </row>
    <row r="7794" spans="1:2" x14ac:dyDescent="0.25">
      <c r="A7794" s="57">
        <v>41115311</v>
      </c>
      <c r="B7794" s="58" t="s">
        <v>13967</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11021</v>
      </c>
    </row>
    <row r="7800" spans="1:2" x14ac:dyDescent="0.25">
      <c r="A7800" s="57">
        <v>41115317</v>
      </c>
      <c r="B7800" s="58" t="s">
        <v>9094</v>
      </c>
    </row>
    <row r="7801" spans="1:2" x14ac:dyDescent="0.25">
      <c r="A7801" s="57">
        <v>41115318</v>
      </c>
      <c r="B7801" s="58" t="s">
        <v>11264</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11197</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12010</v>
      </c>
    </row>
    <row r="7816" spans="1:2" x14ac:dyDescent="0.25">
      <c r="A7816" s="57">
        <v>41115411</v>
      </c>
      <c r="B7816" s="58" t="s">
        <v>18097</v>
      </c>
    </row>
    <row r="7817" spans="1:2" x14ac:dyDescent="0.25">
      <c r="A7817" s="57">
        <v>41115501</v>
      </c>
      <c r="B7817" s="58" t="s">
        <v>11672</v>
      </c>
    </row>
    <row r="7818" spans="1:2" x14ac:dyDescent="0.25">
      <c r="A7818" s="57">
        <v>41115502</v>
      </c>
      <c r="B7818" s="58" t="s">
        <v>9894</v>
      </c>
    </row>
    <row r="7819" spans="1:2" x14ac:dyDescent="0.25">
      <c r="A7819" s="57">
        <v>41115503</v>
      </c>
      <c r="B7819" s="58" t="s">
        <v>17678</v>
      </c>
    </row>
    <row r="7820" spans="1:2" x14ac:dyDescent="0.25">
      <c r="A7820" s="57">
        <v>41115504</v>
      </c>
      <c r="B7820" s="58" t="s">
        <v>6897</v>
      </c>
    </row>
    <row r="7821" spans="1:2" x14ac:dyDescent="0.25">
      <c r="A7821" s="57">
        <v>41115505</v>
      </c>
      <c r="B7821" s="58" t="s">
        <v>12817</v>
      </c>
    </row>
    <row r="7822" spans="1:2" x14ac:dyDescent="0.25">
      <c r="A7822" s="57">
        <v>41115601</v>
      </c>
      <c r="B7822" s="58" t="s">
        <v>10269</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11627</v>
      </c>
    </row>
    <row r="7830" spans="1:2" x14ac:dyDescent="0.25">
      <c r="A7830" s="57">
        <v>41115609</v>
      </c>
      <c r="B7830" s="58" t="s">
        <v>13741</v>
      </c>
    </row>
    <row r="7831" spans="1:2" x14ac:dyDescent="0.25">
      <c r="A7831" s="57">
        <v>41115610</v>
      </c>
      <c r="B7831" s="58" t="s">
        <v>12984</v>
      </c>
    </row>
    <row r="7832" spans="1:2" x14ac:dyDescent="0.25">
      <c r="A7832" s="57">
        <v>41115611</v>
      </c>
      <c r="B7832" s="58" t="s">
        <v>13810</v>
      </c>
    </row>
    <row r="7833" spans="1:2" x14ac:dyDescent="0.25">
      <c r="A7833" s="57">
        <v>41115612</v>
      </c>
      <c r="B7833" s="58" t="s">
        <v>88</v>
      </c>
    </row>
    <row r="7834" spans="1:2" x14ac:dyDescent="0.25">
      <c r="A7834" s="57">
        <v>41115613</v>
      </c>
      <c r="B7834" s="58" t="s">
        <v>10152</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11371</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6256</v>
      </c>
    </row>
    <row r="7843" spans="1:2" x14ac:dyDescent="0.25">
      <c r="A7843" s="57">
        <v>41115708</v>
      </c>
      <c r="B7843" s="58" t="s">
        <v>4937</v>
      </c>
    </row>
    <row r="7844" spans="1:2" x14ac:dyDescent="0.25">
      <c r="A7844" s="57">
        <v>41115709</v>
      </c>
      <c r="B7844" s="58" t="s">
        <v>2263</v>
      </c>
    </row>
    <row r="7845" spans="1:2" x14ac:dyDescent="0.25">
      <c r="A7845" s="57">
        <v>41115710</v>
      </c>
      <c r="B7845" s="58" t="s">
        <v>10919</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5832</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12562</v>
      </c>
    </row>
    <row r="7857" spans="1:2" x14ac:dyDescent="0.25">
      <c r="A7857" s="57">
        <v>41115802</v>
      </c>
      <c r="B7857" s="58" t="s">
        <v>14273</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11238</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13090</v>
      </c>
    </row>
    <row r="7869" spans="1:2" x14ac:dyDescent="0.25">
      <c r="A7869" s="57">
        <v>41115814</v>
      </c>
      <c r="B7869" s="58" t="s">
        <v>11721</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10105</v>
      </c>
    </row>
    <row r="7878" spans="1:2" x14ac:dyDescent="0.25">
      <c r="A7878" s="57">
        <v>41115823</v>
      </c>
      <c r="B7878" s="58" t="s">
        <v>14687</v>
      </c>
    </row>
    <row r="7879" spans="1:2" x14ac:dyDescent="0.25">
      <c r="A7879" s="57">
        <v>41115824</v>
      </c>
      <c r="B7879" s="58" t="s">
        <v>16790</v>
      </c>
    </row>
    <row r="7880" spans="1:2" x14ac:dyDescent="0.25">
      <c r="A7880" s="57">
        <v>41115825</v>
      </c>
      <c r="B7880" s="58" t="s">
        <v>12664</v>
      </c>
    </row>
    <row r="7881" spans="1:2" x14ac:dyDescent="0.25">
      <c r="A7881" s="57">
        <v>41115826</v>
      </c>
      <c r="B7881" s="58" t="s">
        <v>11657</v>
      </c>
    </row>
    <row r="7882" spans="1:2" x14ac:dyDescent="0.25">
      <c r="A7882" s="57">
        <v>41115827</v>
      </c>
      <c r="B7882" s="58" t="s">
        <v>13281</v>
      </c>
    </row>
    <row r="7883" spans="1:2" x14ac:dyDescent="0.25">
      <c r="A7883" s="57">
        <v>41115828</v>
      </c>
      <c r="B7883" s="58" t="s">
        <v>13125</v>
      </c>
    </row>
    <row r="7884" spans="1:2" x14ac:dyDescent="0.25">
      <c r="A7884" s="57">
        <v>41115829</v>
      </c>
      <c r="B7884" s="58" t="s">
        <v>12073</v>
      </c>
    </row>
    <row r="7885" spans="1:2" x14ac:dyDescent="0.25">
      <c r="A7885" s="57">
        <v>41115830</v>
      </c>
      <c r="B7885" s="58" t="s">
        <v>8440</v>
      </c>
    </row>
    <row r="7886" spans="1:2" x14ac:dyDescent="0.25">
      <c r="A7886" s="57">
        <v>41116001</v>
      </c>
      <c r="B7886" s="58" t="s">
        <v>612</v>
      </c>
    </row>
    <row r="7887" spans="1:2" x14ac:dyDescent="0.25">
      <c r="A7887" s="57">
        <v>41116002</v>
      </c>
      <c r="B7887" s="58" t="s">
        <v>9718</v>
      </c>
    </row>
    <row r="7888" spans="1:2" x14ac:dyDescent="0.25">
      <c r="A7888" s="57">
        <v>41116003</v>
      </c>
      <c r="B7888" s="58" t="s">
        <v>6652</v>
      </c>
    </row>
    <row r="7889" spans="1:2" x14ac:dyDescent="0.25">
      <c r="A7889" s="57">
        <v>41116004</v>
      </c>
      <c r="B7889" s="58" t="s">
        <v>718</v>
      </c>
    </row>
    <row r="7890" spans="1:2" x14ac:dyDescent="0.25">
      <c r="A7890" s="57">
        <v>41116005</v>
      </c>
      <c r="B7890" s="58" t="s">
        <v>9855</v>
      </c>
    </row>
    <row r="7891" spans="1:2" x14ac:dyDescent="0.25">
      <c r="A7891" s="57">
        <v>41116006</v>
      </c>
      <c r="B7891" s="58" t="s">
        <v>12429</v>
      </c>
    </row>
    <row r="7892" spans="1:2" x14ac:dyDescent="0.25">
      <c r="A7892" s="57">
        <v>41116007</v>
      </c>
      <c r="B7892" s="58" t="s">
        <v>18129</v>
      </c>
    </row>
    <row r="7893" spans="1:2" x14ac:dyDescent="0.25">
      <c r="A7893" s="57">
        <v>41116008</v>
      </c>
      <c r="B7893" s="58" t="s">
        <v>16751</v>
      </c>
    </row>
    <row r="7894" spans="1:2" x14ac:dyDescent="0.25">
      <c r="A7894" s="57">
        <v>41116009</v>
      </c>
      <c r="B7894" s="58" t="s">
        <v>12850</v>
      </c>
    </row>
    <row r="7895" spans="1:2" x14ac:dyDescent="0.25">
      <c r="A7895" s="57">
        <v>41116010</v>
      </c>
      <c r="B7895" s="58" t="s">
        <v>14158</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14727</v>
      </c>
    </row>
    <row r="7902" spans="1:2" x14ac:dyDescent="0.25">
      <c r="A7902" s="57">
        <v>41116102</v>
      </c>
      <c r="B7902" s="58" t="s">
        <v>8622</v>
      </c>
    </row>
    <row r="7903" spans="1:2" x14ac:dyDescent="0.25">
      <c r="A7903" s="57">
        <v>41116103</v>
      </c>
      <c r="B7903" s="58" t="s">
        <v>10822</v>
      </c>
    </row>
    <row r="7904" spans="1:2" x14ac:dyDescent="0.25">
      <c r="A7904" s="57">
        <v>41116104</v>
      </c>
      <c r="B7904" s="58" t="s">
        <v>12795</v>
      </c>
    </row>
    <row r="7905" spans="1:2" x14ac:dyDescent="0.25">
      <c r="A7905" s="57">
        <v>41116105</v>
      </c>
      <c r="B7905" s="58" t="s">
        <v>4295</v>
      </c>
    </row>
    <row r="7906" spans="1:2" x14ac:dyDescent="0.25">
      <c r="A7906" s="57">
        <v>41116106</v>
      </c>
      <c r="B7906" s="58" t="s">
        <v>13127</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9687</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13487</v>
      </c>
    </row>
    <row r="7922" spans="1:2" x14ac:dyDescent="0.25">
      <c r="A7922" s="57">
        <v>41116124</v>
      </c>
      <c r="B7922" s="58" t="s">
        <v>18547</v>
      </c>
    </row>
    <row r="7923" spans="1:2" x14ac:dyDescent="0.25">
      <c r="A7923" s="57">
        <v>41116125</v>
      </c>
      <c r="B7923" s="58" t="s">
        <v>4381</v>
      </c>
    </row>
    <row r="7924" spans="1:2" x14ac:dyDescent="0.25">
      <c r="A7924" s="57">
        <v>41116126</v>
      </c>
      <c r="B7924" s="58" t="s">
        <v>14405</v>
      </c>
    </row>
    <row r="7925" spans="1:2" x14ac:dyDescent="0.25">
      <c r="A7925" s="57">
        <v>41116127</v>
      </c>
      <c r="B7925" s="58" t="s">
        <v>12312</v>
      </c>
    </row>
    <row r="7926" spans="1:2" x14ac:dyDescent="0.25">
      <c r="A7926" s="57">
        <v>41116128</v>
      </c>
      <c r="B7926" s="58" t="s">
        <v>15517</v>
      </c>
    </row>
    <row r="7927" spans="1:2" x14ac:dyDescent="0.25">
      <c r="A7927" s="57">
        <v>41116129</v>
      </c>
      <c r="B7927" s="58" t="s">
        <v>9191</v>
      </c>
    </row>
    <row r="7928" spans="1:2" x14ac:dyDescent="0.25">
      <c r="A7928" s="57">
        <v>41116130</v>
      </c>
      <c r="B7928" s="58" t="s">
        <v>13786</v>
      </c>
    </row>
    <row r="7929" spans="1:2" x14ac:dyDescent="0.25">
      <c r="A7929" s="57">
        <v>41116131</v>
      </c>
      <c r="B7929" s="58" t="s">
        <v>15732</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10381</v>
      </c>
    </row>
    <row r="7936" spans="1:2" x14ac:dyDescent="0.25">
      <c r="A7936" s="57">
        <v>41116138</v>
      </c>
      <c r="B7936" s="58" t="s">
        <v>11882</v>
      </c>
    </row>
    <row r="7937" spans="1:2" x14ac:dyDescent="0.25">
      <c r="A7937" s="57">
        <v>41116139</v>
      </c>
      <c r="B7937" s="58" t="s">
        <v>2883</v>
      </c>
    </row>
    <row r="7938" spans="1:2" x14ac:dyDescent="0.25">
      <c r="A7938" s="57">
        <v>41116140</v>
      </c>
      <c r="B7938" s="58" t="s">
        <v>15017</v>
      </c>
    </row>
    <row r="7939" spans="1:2" x14ac:dyDescent="0.25">
      <c r="A7939" s="57">
        <v>41116141</v>
      </c>
      <c r="B7939" s="58" t="s">
        <v>12145</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9712</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11583</v>
      </c>
    </row>
    <row r="7948" spans="1:2" x14ac:dyDescent="0.25">
      <c r="A7948" s="57">
        <v>41116202</v>
      </c>
      <c r="B7948" s="58" t="s">
        <v>922</v>
      </c>
    </row>
    <row r="7949" spans="1:2" x14ac:dyDescent="0.25">
      <c r="A7949" s="57">
        <v>41116203</v>
      </c>
      <c r="B7949" s="58" t="s">
        <v>14384</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11865</v>
      </c>
    </row>
    <row r="7959" spans="1:2" x14ac:dyDescent="0.25">
      <c r="A7959" s="57">
        <v>41121506</v>
      </c>
      <c r="B7959" s="58" t="s">
        <v>11463</v>
      </c>
    </row>
    <row r="7960" spans="1:2" x14ac:dyDescent="0.25">
      <c r="A7960" s="57">
        <v>41121507</v>
      </c>
      <c r="B7960" s="58" t="s">
        <v>7237</v>
      </c>
    </row>
    <row r="7961" spans="1:2" x14ac:dyDescent="0.25">
      <c r="A7961" s="57">
        <v>41121508</v>
      </c>
      <c r="B7961" s="58" t="s">
        <v>14033</v>
      </c>
    </row>
    <row r="7962" spans="1:2" x14ac:dyDescent="0.25">
      <c r="A7962" s="57">
        <v>41121509</v>
      </c>
      <c r="B7962" s="58" t="s">
        <v>5370</v>
      </c>
    </row>
    <row r="7963" spans="1:2" x14ac:dyDescent="0.25">
      <c r="A7963" s="57">
        <v>41121510</v>
      </c>
      <c r="B7963" s="58" t="s">
        <v>14188</v>
      </c>
    </row>
    <row r="7964" spans="1:2" x14ac:dyDescent="0.25">
      <c r="A7964" s="57">
        <v>41121511</v>
      </c>
      <c r="B7964" s="58" t="s">
        <v>425</v>
      </c>
    </row>
    <row r="7965" spans="1:2" x14ac:dyDescent="0.25">
      <c r="A7965" s="57">
        <v>41121513</v>
      </c>
      <c r="B7965" s="58" t="s">
        <v>12988</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17569</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10661</v>
      </c>
    </row>
    <row r="7979" spans="1:2" x14ac:dyDescent="0.25">
      <c r="A7979" s="57">
        <v>41121701</v>
      </c>
      <c r="B7979" s="58" t="s">
        <v>3852</v>
      </c>
    </row>
    <row r="7980" spans="1:2" x14ac:dyDescent="0.25">
      <c r="A7980" s="57">
        <v>41121702</v>
      </c>
      <c r="B7980" s="58" t="s">
        <v>7666</v>
      </c>
    </row>
    <row r="7981" spans="1:2" x14ac:dyDescent="0.25">
      <c r="A7981" s="57">
        <v>41121703</v>
      </c>
      <c r="B7981" s="58" t="s">
        <v>10676</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10240</v>
      </c>
    </row>
    <row r="7991" spans="1:2" x14ac:dyDescent="0.25">
      <c r="A7991" s="57">
        <v>41121802</v>
      </c>
      <c r="B7991" s="58" t="s">
        <v>15674</v>
      </c>
    </row>
    <row r="7992" spans="1:2" x14ac:dyDescent="0.25">
      <c r="A7992" s="57">
        <v>41121803</v>
      </c>
      <c r="B7992" s="58" t="s">
        <v>10002</v>
      </c>
    </row>
    <row r="7993" spans="1:2" x14ac:dyDescent="0.25">
      <c r="A7993" s="57">
        <v>41121804</v>
      </c>
      <c r="B7993" s="58" t="s">
        <v>11507</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11051</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13374</v>
      </c>
    </row>
    <row r="8008" spans="1:2" x14ac:dyDescent="0.25">
      <c r="A8008" s="57">
        <v>41122004</v>
      </c>
      <c r="B8008" s="58" t="s">
        <v>12146</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9719</v>
      </c>
    </row>
    <row r="8013" spans="1:2" x14ac:dyDescent="0.25">
      <c r="A8013" s="57">
        <v>41122105</v>
      </c>
      <c r="B8013" s="58" t="s">
        <v>14875</v>
      </c>
    </row>
    <row r="8014" spans="1:2" x14ac:dyDescent="0.25">
      <c r="A8014" s="57">
        <v>41122106</v>
      </c>
      <c r="B8014" s="58" t="s">
        <v>11283</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16006</v>
      </c>
    </row>
    <row r="8020" spans="1:2" x14ac:dyDescent="0.25">
      <c r="A8020" s="57">
        <v>41122202</v>
      </c>
      <c r="B8020" s="58" t="s">
        <v>15030</v>
      </c>
    </row>
    <row r="8021" spans="1:2" x14ac:dyDescent="0.25">
      <c r="A8021" s="57">
        <v>41122203</v>
      </c>
      <c r="B8021" s="58" t="s">
        <v>10456</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10828</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10341</v>
      </c>
    </row>
    <row r="8032" spans="1:2" x14ac:dyDescent="0.25">
      <c r="A8032" s="57">
        <v>41122410</v>
      </c>
      <c r="B8032" s="58" t="s">
        <v>14505</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14352</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14090</v>
      </c>
    </row>
    <row r="8044" spans="1:2" x14ac:dyDescent="0.25">
      <c r="A8044" s="57">
        <v>41122606</v>
      </c>
      <c r="B8044" s="58" t="s">
        <v>4444</v>
      </c>
    </row>
    <row r="8045" spans="1:2" x14ac:dyDescent="0.25">
      <c r="A8045" s="57">
        <v>41122701</v>
      </c>
      <c r="B8045" s="58" t="s">
        <v>8532</v>
      </c>
    </row>
    <row r="8046" spans="1:2" x14ac:dyDescent="0.25">
      <c r="A8046" s="57">
        <v>41122702</v>
      </c>
      <c r="B8046" s="58" t="s">
        <v>13641</v>
      </c>
    </row>
    <row r="8047" spans="1:2" x14ac:dyDescent="0.25">
      <c r="A8047" s="57">
        <v>41122703</v>
      </c>
      <c r="B8047" s="58" t="s">
        <v>8418</v>
      </c>
    </row>
    <row r="8048" spans="1:2" x14ac:dyDescent="0.25">
      <c r="A8048" s="57">
        <v>41122704</v>
      </c>
      <c r="B8048" s="58" t="s">
        <v>6024</v>
      </c>
    </row>
    <row r="8049" spans="1:2" x14ac:dyDescent="0.25">
      <c r="A8049" s="57">
        <v>41122801</v>
      </c>
      <c r="B8049" s="58" t="s">
        <v>12763</v>
      </c>
    </row>
    <row r="8050" spans="1:2" x14ac:dyDescent="0.25">
      <c r="A8050" s="57">
        <v>41122802</v>
      </c>
      <c r="B8050" s="58" t="s">
        <v>1060</v>
      </c>
    </row>
    <row r="8051" spans="1:2" x14ac:dyDescent="0.25">
      <c r="A8051" s="57">
        <v>41122803</v>
      </c>
      <c r="B8051" s="58" t="s">
        <v>8358</v>
      </c>
    </row>
    <row r="8052" spans="1:2" x14ac:dyDescent="0.25">
      <c r="A8052" s="57">
        <v>41122804</v>
      </c>
      <c r="B8052" s="58" t="s">
        <v>12324</v>
      </c>
    </row>
    <row r="8053" spans="1:2" x14ac:dyDescent="0.25">
      <c r="A8053" s="57">
        <v>41122805</v>
      </c>
      <c r="B8053" s="58" t="s">
        <v>9801</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15144</v>
      </c>
    </row>
    <row r="8061" spans="1:2" x14ac:dyDescent="0.25">
      <c r="A8061" s="57">
        <v>41123004</v>
      </c>
      <c r="B8061" s="58" t="s">
        <v>12302</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12340</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9953</v>
      </c>
    </row>
    <row r="8075" spans="1:2" x14ac:dyDescent="0.25">
      <c r="A8075" s="57">
        <v>42121503</v>
      </c>
      <c r="B8075" s="58" t="s">
        <v>9905</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12417</v>
      </c>
    </row>
    <row r="8081" spans="1:2" x14ac:dyDescent="0.25">
      <c r="A8081" s="57">
        <v>42121509</v>
      </c>
      <c r="B8081" s="58" t="s">
        <v>8636</v>
      </c>
    </row>
    <row r="8082" spans="1:2" x14ac:dyDescent="0.25">
      <c r="A8082" s="57">
        <v>42121510</v>
      </c>
      <c r="B8082" s="58" t="s">
        <v>13210</v>
      </c>
    </row>
    <row r="8083" spans="1:2" x14ac:dyDescent="0.25">
      <c r="A8083" s="57">
        <v>42121511</v>
      </c>
      <c r="B8083" s="58" t="s">
        <v>6750</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10376</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9745</v>
      </c>
    </row>
    <row r="8104" spans="1:2" x14ac:dyDescent="0.25">
      <c r="A8104" s="57">
        <v>42131507</v>
      </c>
      <c r="B8104" s="58" t="s">
        <v>16003</v>
      </c>
    </row>
    <row r="8105" spans="1:2" x14ac:dyDescent="0.25">
      <c r="A8105" s="57">
        <v>42131508</v>
      </c>
      <c r="B8105" s="58" t="s">
        <v>11242</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13502</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11086</v>
      </c>
    </row>
    <row r="8115" spans="1:2" x14ac:dyDescent="0.25">
      <c r="A8115" s="57">
        <v>42131608</v>
      </c>
      <c r="B8115" s="58" t="s">
        <v>4814</v>
      </c>
    </row>
    <row r="8116" spans="1:2" x14ac:dyDescent="0.25">
      <c r="A8116" s="57">
        <v>42131609</v>
      </c>
      <c r="B8116" s="58" t="s">
        <v>12753</v>
      </c>
    </row>
    <row r="8117" spans="1:2" x14ac:dyDescent="0.25">
      <c r="A8117" s="57">
        <v>42131610</v>
      </c>
      <c r="B8117" s="58" t="s">
        <v>2096</v>
      </c>
    </row>
    <row r="8118" spans="1:2" x14ac:dyDescent="0.25">
      <c r="A8118" s="57">
        <v>42131611</v>
      </c>
      <c r="B8118" s="58" t="s">
        <v>9813</v>
      </c>
    </row>
    <row r="8119" spans="1:2" x14ac:dyDescent="0.25">
      <c r="A8119" s="57">
        <v>42131612</v>
      </c>
      <c r="B8119" s="58" t="s">
        <v>17509</v>
      </c>
    </row>
    <row r="8120" spans="1:2" x14ac:dyDescent="0.25">
      <c r="A8120" s="57">
        <v>42131613</v>
      </c>
      <c r="B8120" s="58" t="s">
        <v>17618</v>
      </c>
    </row>
    <row r="8121" spans="1:2" x14ac:dyDescent="0.25">
      <c r="A8121" s="57">
        <v>42131701</v>
      </c>
      <c r="B8121" s="58" t="s">
        <v>9804</v>
      </c>
    </row>
    <row r="8122" spans="1:2" x14ac:dyDescent="0.25">
      <c r="A8122" s="57">
        <v>42131702</v>
      </c>
      <c r="B8122" s="58" t="s">
        <v>6949</v>
      </c>
    </row>
    <row r="8123" spans="1:2" x14ac:dyDescent="0.25">
      <c r="A8123" s="57">
        <v>42131703</v>
      </c>
      <c r="B8123" s="58" t="s">
        <v>2280</v>
      </c>
    </row>
    <row r="8124" spans="1:2" x14ac:dyDescent="0.25">
      <c r="A8124" s="57">
        <v>42131704</v>
      </c>
      <c r="B8124" s="58" t="s">
        <v>12830</v>
      </c>
    </row>
    <row r="8125" spans="1:2" x14ac:dyDescent="0.25">
      <c r="A8125" s="57">
        <v>42131705</v>
      </c>
      <c r="B8125" s="58" t="s">
        <v>4284</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10683</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11189</v>
      </c>
    </row>
    <row r="8141" spans="1:2" x14ac:dyDescent="0.25">
      <c r="A8141" s="57">
        <v>42141501</v>
      </c>
      <c r="B8141" s="58" t="s">
        <v>17765</v>
      </c>
    </row>
    <row r="8142" spans="1:2" x14ac:dyDescent="0.25">
      <c r="A8142" s="57">
        <v>42141502</v>
      </c>
      <c r="B8142" s="58" t="s">
        <v>5875</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13248</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6165</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10460</v>
      </c>
    </row>
    <row r="8167" spans="1:2" x14ac:dyDescent="0.25">
      <c r="A8167" s="57">
        <v>42141902</v>
      </c>
      <c r="B8167" s="58" t="s">
        <v>7787</v>
      </c>
    </row>
    <row r="8168" spans="1:2" x14ac:dyDescent="0.25">
      <c r="A8168" s="57">
        <v>42141903</v>
      </c>
      <c r="B8168" s="58" t="s">
        <v>13352</v>
      </c>
    </row>
    <row r="8169" spans="1:2" x14ac:dyDescent="0.25">
      <c r="A8169" s="57">
        <v>42141904</v>
      </c>
      <c r="B8169" s="58" t="s">
        <v>13554</v>
      </c>
    </row>
    <row r="8170" spans="1:2" x14ac:dyDescent="0.25">
      <c r="A8170" s="57">
        <v>42141905</v>
      </c>
      <c r="B8170" s="58" t="s">
        <v>12304</v>
      </c>
    </row>
    <row r="8171" spans="1:2" x14ac:dyDescent="0.25">
      <c r="A8171" s="57">
        <v>42142001</v>
      </c>
      <c r="B8171" s="58" t="s">
        <v>15497</v>
      </c>
    </row>
    <row r="8172" spans="1:2" x14ac:dyDescent="0.25">
      <c r="A8172" s="57">
        <v>42142002</v>
      </c>
      <c r="B8172" s="58" t="s">
        <v>12444</v>
      </c>
    </row>
    <row r="8173" spans="1:2" x14ac:dyDescent="0.25">
      <c r="A8173" s="57">
        <v>42142003</v>
      </c>
      <c r="B8173" s="58" t="s">
        <v>15608</v>
      </c>
    </row>
    <row r="8174" spans="1:2" x14ac:dyDescent="0.25">
      <c r="A8174" s="57">
        <v>42142004</v>
      </c>
      <c r="B8174" s="58" t="s">
        <v>10056</v>
      </c>
    </row>
    <row r="8175" spans="1:2" x14ac:dyDescent="0.25">
      <c r="A8175" s="57">
        <v>42142005</v>
      </c>
      <c r="B8175" s="58" t="s">
        <v>2183</v>
      </c>
    </row>
    <row r="8176" spans="1:2" x14ac:dyDescent="0.25">
      <c r="A8176" s="57">
        <v>42142006</v>
      </c>
      <c r="B8176" s="58" t="s">
        <v>9672</v>
      </c>
    </row>
    <row r="8177" spans="1:2" x14ac:dyDescent="0.25">
      <c r="A8177" s="57">
        <v>42142007</v>
      </c>
      <c r="B8177" s="58" t="s">
        <v>10952</v>
      </c>
    </row>
    <row r="8178" spans="1:2" x14ac:dyDescent="0.25">
      <c r="A8178" s="57">
        <v>42142101</v>
      </c>
      <c r="B8178" s="58" t="s">
        <v>3727</v>
      </c>
    </row>
    <row r="8179" spans="1:2" x14ac:dyDescent="0.25">
      <c r="A8179" s="57">
        <v>42142102</v>
      </c>
      <c r="B8179" s="58" t="s">
        <v>2727</v>
      </c>
    </row>
    <row r="8180" spans="1:2" x14ac:dyDescent="0.25">
      <c r="A8180" s="57">
        <v>42142103</v>
      </c>
      <c r="B8180" s="58" t="s">
        <v>12247</v>
      </c>
    </row>
    <row r="8181" spans="1:2" x14ac:dyDescent="0.25">
      <c r="A8181" s="57">
        <v>42142104</v>
      </c>
      <c r="B8181" s="58" t="s">
        <v>8228</v>
      </c>
    </row>
    <row r="8182" spans="1:2" x14ac:dyDescent="0.25">
      <c r="A8182" s="57">
        <v>42142105</v>
      </c>
      <c r="B8182" s="58" t="s">
        <v>9924</v>
      </c>
    </row>
    <row r="8183" spans="1:2" x14ac:dyDescent="0.25">
      <c r="A8183" s="57">
        <v>42142106</v>
      </c>
      <c r="B8183" s="58" t="s">
        <v>16673</v>
      </c>
    </row>
    <row r="8184" spans="1:2" x14ac:dyDescent="0.25">
      <c r="A8184" s="57">
        <v>42142107</v>
      </c>
      <c r="B8184" s="58" t="s">
        <v>9300</v>
      </c>
    </row>
    <row r="8185" spans="1:2" x14ac:dyDescent="0.25">
      <c r="A8185" s="57">
        <v>42142108</v>
      </c>
      <c r="B8185" s="58" t="s">
        <v>12938</v>
      </c>
    </row>
    <row r="8186" spans="1:2" x14ac:dyDescent="0.25">
      <c r="A8186" s="57">
        <v>42142109</v>
      </c>
      <c r="B8186" s="58" t="s">
        <v>100</v>
      </c>
    </row>
    <row r="8187" spans="1:2" x14ac:dyDescent="0.25">
      <c r="A8187" s="57">
        <v>42142110</v>
      </c>
      <c r="B8187" s="58" t="s">
        <v>12233</v>
      </c>
    </row>
    <row r="8188" spans="1:2" x14ac:dyDescent="0.25">
      <c r="A8188" s="57">
        <v>42142111</v>
      </c>
      <c r="B8188" s="58" t="s">
        <v>4931</v>
      </c>
    </row>
    <row r="8189" spans="1:2" x14ac:dyDescent="0.25">
      <c r="A8189" s="57">
        <v>42142112</v>
      </c>
      <c r="B8189" s="58" t="s">
        <v>6980</v>
      </c>
    </row>
    <row r="8190" spans="1:2" x14ac:dyDescent="0.25">
      <c r="A8190" s="57">
        <v>42142113</v>
      </c>
      <c r="B8190" s="58" t="s">
        <v>10718</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14484</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15289</v>
      </c>
    </row>
    <row r="8201" spans="1:2" x14ac:dyDescent="0.25">
      <c r="A8201" s="57">
        <v>42142402</v>
      </c>
      <c r="B8201" s="58" t="s">
        <v>17256</v>
      </c>
    </row>
    <row r="8202" spans="1:2" x14ac:dyDescent="0.25">
      <c r="A8202" s="57">
        <v>42142403</v>
      </c>
      <c r="B8202" s="58" t="s">
        <v>11395</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14540</v>
      </c>
    </row>
    <row r="8208" spans="1:2" x14ac:dyDescent="0.25">
      <c r="A8208" s="57">
        <v>42142502</v>
      </c>
      <c r="B8208" s="58" t="s">
        <v>10870</v>
      </c>
    </row>
    <row r="8209" spans="1:2" x14ac:dyDescent="0.25">
      <c r="A8209" s="57">
        <v>42142503</v>
      </c>
      <c r="B8209" s="58" t="s">
        <v>15024</v>
      </c>
    </row>
    <row r="8210" spans="1:2" x14ac:dyDescent="0.25">
      <c r="A8210" s="57">
        <v>42142504</v>
      </c>
      <c r="B8210" s="58" t="s">
        <v>7515</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12652</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12821</v>
      </c>
    </row>
    <row r="8227" spans="1:2" x14ac:dyDescent="0.25">
      <c r="A8227" s="57">
        <v>42142522</v>
      </c>
      <c r="B8227" s="58" t="s">
        <v>11577</v>
      </c>
    </row>
    <row r="8228" spans="1:2" x14ac:dyDescent="0.25">
      <c r="A8228" s="57">
        <v>42142523</v>
      </c>
      <c r="B8228" s="58" t="s">
        <v>14937</v>
      </c>
    </row>
    <row r="8229" spans="1:2" x14ac:dyDescent="0.25">
      <c r="A8229" s="57">
        <v>42142524</v>
      </c>
      <c r="B8229" s="58" t="s">
        <v>9799</v>
      </c>
    </row>
    <row r="8230" spans="1:2" x14ac:dyDescent="0.25">
      <c r="A8230" s="57">
        <v>42142525</v>
      </c>
      <c r="B8230" s="58" t="s">
        <v>6683</v>
      </c>
    </row>
    <row r="8231" spans="1:2" x14ac:dyDescent="0.25">
      <c r="A8231" s="57">
        <v>42142526</v>
      </c>
      <c r="B8231" s="58" t="s">
        <v>10433</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11167</v>
      </c>
    </row>
    <row r="8236" spans="1:2" x14ac:dyDescent="0.25">
      <c r="A8236" s="57">
        <v>42142531</v>
      </c>
      <c r="B8236" s="58" t="s">
        <v>7799</v>
      </c>
    </row>
    <row r="8237" spans="1:2" x14ac:dyDescent="0.25">
      <c r="A8237" s="57">
        <v>42142532</v>
      </c>
      <c r="B8237" s="58" t="s">
        <v>13391</v>
      </c>
    </row>
    <row r="8238" spans="1:2" x14ac:dyDescent="0.25">
      <c r="A8238" s="57">
        <v>42142601</v>
      </c>
      <c r="B8238" s="58" t="s">
        <v>6055</v>
      </c>
    </row>
    <row r="8239" spans="1:2" x14ac:dyDescent="0.25">
      <c r="A8239" s="57">
        <v>42142602</v>
      </c>
      <c r="B8239" s="58" t="s">
        <v>12016</v>
      </c>
    </row>
    <row r="8240" spans="1:2" x14ac:dyDescent="0.25">
      <c r="A8240" s="57">
        <v>42142603</v>
      </c>
      <c r="B8240" s="58" t="s">
        <v>1409</v>
      </c>
    </row>
    <row r="8241" spans="1:2" x14ac:dyDescent="0.25">
      <c r="A8241" s="57">
        <v>42142604</v>
      </c>
      <c r="B8241" s="58" t="s">
        <v>2219</v>
      </c>
    </row>
    <row r="8242" spans="1:2" x14ac:dyDescent="0.25">
      <c r="A8242" s="57">
        <v>42142605</v>
      </c>
      <c r="B8242" s="58" t="s">
        <v>12871</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12639</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10719</v>
      </c>
    </row>
    <row r="8266" spans="1:2" x14ac:dyDescent="0.25">
      <c r="A8266" s="57">
        <v>42142711</v>
      </c>
      <c r="B8266" s="58" t="s">
        <v>15955</v>
      </c>
    </row>
    <row r="8267" spans="1:2" x14ac:dyDescent="0.25">
      <c r="A8267" s="57">
        <v>42142712</v>
      </c>
      <c r="B8267" s="58" t="s">
        <v>11386</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10545</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10067</v>
      </c>
    </row>
    <row r="8301" spans="1:2" x14ac:dyDescent="0.25">
      <c r="A8301" s="57">
        <v>42143505</v>
      </c>
      <c r="B8301" s="58" t="s">
        <v>11232</v>
      </c>
    </row>
    <row r="8302" spans="1:2" x14ac:dyDescent="0.25">
      <c r="A8302" s="57">
        <v>42143506</v>
      </c>
      <c r="B8302" s="58" t="s">
        <v>3587</v>
      </c>
    </row>
    <row r="8303" spans="1:2" x14ac:dyDescent="0.25">
      <c r="A8303" s="57">
        <v>42143507</v>
      </c>
      <c r="B8303" s="58" t="s">
        <v>12066</v>
      </c>
    </row>
    <row r="8304" spans="1:2" x14ac:dyDescent="0.25">
      <c r="A8304" s="57">
        <v>42143508</v>
      </c>
      <c r="B8304" s="58" t="s">
        <v>10883</v>
      </c>
    </row>
    <row r="8305" spans="1:2" x14ac:dyDescent="0.25">
      <c r="A8305" s="57">
        <v>42143509</v>
      </c>
      <c r="B8305" s="58" t="s">
        <v>11080</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13909</v>
      </c>
    </row>
    <row r="8313" spans="1:2" x14ac:dyDescent="0.25">
      <c r="A8313" s="57">
        <v>42143604</v>
      </c>
      <c r="B8313" s="58" t="s">
        <v>13101</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14025</v>
      </c>
    </row>
    <row r="8319" spans="1:2" x14ac:dyDescent="0.25">
      <c r="A8319" s="57">
        <v>42151502</v>
      </c>
      <c r="B8319" s="58" t="s">
        <v>12590</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10090</v>
      </c>
    </row>
    <row r="8325" spans="1:2" x14ac:dyDescent="0.25">
      <c r="A8325" s="57">
        <v>42151601</v>
      </c>
      <c r="B8325" s="58" t="s">
        <v>1725</v>
      </c>
    </row>
    <row r="8326" spans="1:2" x14ac:dyDescent="0.25">
      <c r="A8326" s="57">
        <v>42151602</v>
      </c>
      <c r="B8326" s="58" t="s">
        <v>16551</v>
      </c>
    </row>
    <row r="8327" spans="1:2" x14ac:dyDescent="0.25">
      <c r="A8327" s="57">
        <v>42151603</v>
      </c>
      <c r="B8327" s="58" t="s">
        <v>12625</v>
      </c>
    </row>
    <row r="8328" spans="1:2" x14ac:dyDescent="0.25">
      <c r="A8328" s="57">
        <v>42151604</v>
      </c>
      <c r="B8328" s="58" t="s">
        <v>8771</v>
      </c>
    </row>
    <row r="8329" spans="1:2" x14ac:dyDescent="0.25">
      <c r="A8329" s="57">
        <v>42151605</v>
      </c>
      <c r="B8329" s="58" t="s">
        <v>13889</v>
      </c>
    </row>
    <row r="8330" spans="1:2" x14ac:dyDescent="0.25">
      <c r="A8330" s="57">
        <v>42151606</v>
      </c>
      <c r="B8330" s="58" t="s">
        <v>6570</v>
      </c>
    </row>
    <row r="8331" spans="1:2" x14ac:dyDescent="0.25">
      <c r="A8331" s="57">
        <v>42151607</v>
      </c>
      <c r="B8331" s="58" t="s">
        <v>1972</v>
      </c>
    </row>
    <row r="8332" spans="1:2" x14ac:dyDescent="0.25">
      <c r="A8332" s="57">
        <v>42151608</v>
      </c>
      <c r="B8332" s="58" t="s">
        <v>11743</v>
      </c>
    </row>
    <row r="8333" spans="1:2" x14ac:dyDescent="0.25">
      <c r="A8333" s="57">
        <v>42151609</v>
      </c>
      <c r="B8333" s="58" t="s">
        <v>14568</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17465</v>
      </c>
    </row>
    <row r="8345" spans="1:2" x14ac:dyDescent="0.25">
      <c r="A8345" s="57">
        <v>42151621</v>
      </c>
      <c r="B8345" s="58" t="s">
        <v>6293</v>
      </c>
    </row>
    <row r="8346" spans="1:2" x14ac:dyDescent="0.25">
      <c r="A8346" s="57">
        <v>42151622</v>
      </c>
      <c r="B8346" s="58" t="s">
        <v>13007</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13145</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12159</v>
      </c>
    </row>
    <row r="8361" spans="1:2" x14ac:dyDescent="0.25">
      <c r="A8361" s="57">
        <v>42151637</v>
      </c>
      <c r="B8361" s="58" t="s">
        <v>15418</v>
      </c>
    </row>
    <row r="8362" spans="1:2" x14ac:dyDescent="0.25">
      <c r="A8362" s="57">
        <v>42151638</v>
      </c>
      <c r="B8362" s="58" t="s">
        <v>10860</v>
      </c>
    </row>
    <row r="8363" spans="1:2" x14ac:dyDescent="0.25">
      <c r="A8363" s="57">
        <v>42151639</v>
      </c>
      <c r="B8363" s="58" t="s">
        <v>9538</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11573</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12611</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12968</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10322</v>
      </c>
    </row>
    <row r="8385" spans="1:2" x14ac:dyDescent="0.25">
      <c r="A8385" s="57">
        <v>42151662</v>
      </c>
      <c r="B8385" s="58" t="s">
        <v>10761</v>
      </c>
    </row>
    <row r="8386" spans="1:2" x14ac:dyDescent="0.25">
      <c r="A8386" s="57">
        <v>42151663</v>
      </c>
      <c r="B8386" s="58" t="s">
        <v>13637</v>
      </c>
    </row>
    <row r="8387" spans="1:2" x14ac:dyDescent="0.25">
      <c r="A8387" s="57">
        <v>42151664</v>
      </c>
      <c r="B8387" s="58" t="s">
        <v>3824</v>
      </c>
    </row>
    <row r="8388" spans="1:2" x14ac:dyDescent="0.25">
      <c r="A8388" s="57">
        <v>42151665</v>
      </c>
      <c r="B8388" s="58" t="s">
        <v>5183</v>
      </c>
    </row>
    <row r="8389" spans="1:2" x14ac:dyDescent="0.25">
      <c r="A8389" s="57">
        <v>42151666</v>
      </c>
      <c r="B8389" s="58" t="s">
        <v>11824</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14446</v>
      </c>
    </row>
    <row r="8394" spans="1:2" x14ac:dyDescent="0.25">
      <c r="A8394" s="57">
        <v>42151671</v>
      </c>
      <c r="B8394" s="58" t="s">
        <v>9908</v>
      </c>
    </row>
    <row r="8395" spans="1:2" x14ac:dyDescent="0.25">
      <c r="A8395" s="57">
        <v>42151672</v>
      </c>
      <c r="B8395" s="58" t="s">
        <v>2898</v>
      </c>
    </row>
    <row r="8396" spans="1:2" x14ac:dyDescent="0.25">
      <c r="A8396" s="57">
        <v>42151673</v>
      </c>
      <c r="B8396" s="58" t="s">
        <v>11310</v>
      </c>
    </row>
    <row r="8397" spans="1:2" x14ac:dyDescent="0.25">
      <c r="A8397" s="57">
        <v>42151674</v>
      </c>
      <c r="B8397" s="58" t="s">
        <v>15985</v>
      </c>
    </row>
    <row r="8398" spans="1:2" x14ac:dyDescent="0.25">
      <c r="A8398" s="57">
        <v>42151675</v>
      </c>
      <c r="B8398" s="58" t="s">
        <v>4307</v>
      </c>
    </row>
    <row r="8399" spans="1:2" x14ac:dyDescent="0.25">
      <c r="A8399" s="57">
        <v>42151676</v>
      </c>
      <c r="B8399" s="58" t="s">
        <v>13962</v>
      </c>
    </row>
    <row r="8400" spans="1:2" x14ac:dyDescent="0.25">
      <c r="A8400" s="57">
        <v>42151677</v>
      </c>
      <c r="B8400" s="58" t="s">
        <v>8731</v>
      </c>
    </row>
    <row r="8401" spans="1:2" x14ac:dyDescent="0.25">
      <c r="A8401" s="57">
        <v>42151678</v>
      </c>
      <c r="B8401" s="58" t="s">
        <v>3642</v>
      </c>
    </row>
    <row r="8402" spans="1:2" x14ac:dyDescent="0.25">
      <c r="A8402" s="57">
        <v>42151679</v>
      </c>
      <c r="B8402" s="58" t="s">
        <v>11200</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9972</v>
      </c>
    </row>
    <row r="8415" spans="1:2" x14ac:dyDescent="0.25">
      <c r="A8415" s="57">
        <v>42151806</v>
      </c>
      <c r="B8415" s="58" t="s">
        <v>10285</v>
      </c>
    </row>
    <row r="8416" spans="1:2" x14ac:dyDescent="0.25">
      <c r="A8416" s="57">
        <v>42151807</v>
      </c>
      <c r="B8416" s="58" t="s">
        <v>9633</v>
      </c>
    </row>
    <row r="8417" spans="1:2" x14ac:dyDescent="0.25">
      <c r="A8417" s="57">
        <v>42151808</v>
      </c>
      <c r="B8417" s="58" t="s">
        <v>8323</v>
      </c>
    </row>
    <row r="8418" spans="1:2" x14ac:dyDescent="0.25">
      <c r="A8418" s="57">
        <v>42151809</v>
      </c>
      <c r="B8418" s="58" t="s">
        <v>12044</v>
      </c>
    </row>
    <row r="8419" spans="1:2" x14ac:dyDescent="0.25">
      <c r="A8419" s="57">
        <v>42151810</v>
      </c>
      <c r="B8419" s="58" t="s">
        <v>837</v>
      </c>
    </row>
    <row r="8420" spans="1:2" x14ac:dyDescent="0.25">
      <c r="A8420" s="57">
        <v>42151811</v>
      </c>
      <c r="B8420" s="58" t="s">
        <v>12167</v>
      </c>
    </row>
    <row r="8421" spans="1:2" x14ac:dyDescent="0.25">
      <c r="A8421" s="57">
        <v>42151812</v>
      </c>
      <c r="B8421" s="58" t="s">
        <v>11121</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5955</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10558</v>
      </c>
    </row>
    <row r="8431" spans="1:2" x14ac:dyDescent="0.25">
      <c r="A8431" s="57">
        <v>42151906</v>
      </c>
      <c r="B8431" s="58" t="s">
        <v>5082</v>
      </c>
    </row>
    <row r="8432" spans="1:2" x14ac:dyDescent="0.25">
      <c r="A8432" s="57">
        <v>42151907</v>
      </c>
      <c r="B8432" s="58" t="s">
        <v>12835</v>
      </c>
    </row>
    <row r="8433" spans="1:2" x14ac:dyDescent="0.25">
      <c r="A8433" s="57">
        <v>42151908</v>
      </c>
      <c r="B8433" s="58" t="s">
        <v>1672</v>
      </c>
    </row>
    <row r="8434" spans="1:2" x14ac:dyDescent="0.25">
      <c r="A8434" s="57">
        <v>42151909</v>
      </c>
      <c r="B8434" s="58" t="s">
        <v>11776</v>
      </c>
    </row>
    <row r="8435" spans="1:2" x14ac:dyDescent="0.25">
      <c r="A8435" s="57">
        <v>42151910</v>
      </c>
      <c r="B8435" s="58" t="s">
        <v>11353</v>
      </c>
    </row>
    <row r="8436" spans="1:2" x14ac:dyDescent="0.25">
      <c r="A8436" s="57">
        <v>42151911</v>
      </c>
      <c r="B8436" s="58" t="s">
        <v>14495</v>
      </c>
    </row>
    <row r="8437" spans="1:2" x14ac:dyDescent="0.25">
      <c r="A8437" s="57">
        <v>42151912</v>
      </c>
      <c r="B8437" s="58" t="s">
        <v>15204</v>
      </c>
    </row>
    <row r="8438" spans="1:2" x14ac:dyDescent="0.25">
      <c r="A8438" s="57">
        <v>42152001</v>
      </c>
      <c r="B8438" s="58" t="s">
        <v>17418</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10017</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13077</v>
      </c>
    </row>
    <row r="8452" spans="1:2" x14ac:dyDescent="0.25">
      <c r="A8452" s="57">
        <v>42152101</v>
      </c>
      <c r="B8452" s="58" t="s">
        <v>12252</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13490</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10760</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12932</v>
      </c>
    </row>
    <row r="8470" spans="1:2" x14ac:dyDescent="0.25">
      <c r="A8470" s="57">
        <v>42152204</v>
      </c>
      <c r="B8470" s="58" t="s">
        <v>12543</v>
      </c>
    </row>
    <row r="8471" spans="1:2" x14ac:dyDescent="0.25">
      <c r="A8471" s="57">
        <v>42152205</v>
      </c>
      <c r="B8471" s="58" t="s">
        <v>18548</v>
      </c>
    </row>
    <row r="8472" spans="1:2" x14ac:dyDescent="0.25">
      <c r="A8472" s="57">
        <v>42152206</v>
      </c>
      <c r="B8472" s="58" t="s">
        <v>10751</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11693</v>
      </c>
    </row>
    <row r="8477" spans="1:2" x14ac:dyDescent="0.25">
      <c r="A8477" s="57">
        <v>42152211</v>
      </c>
      <c r="B8477" s="58" t="s">
        <v>16338</v>
      </c>
    </row>
    <row r="8478" spans="1:2" x14ac:dyDescent="0.25">
      <c r="A8478" s="57">
        <v>42152212</v>
      </c>
      <c r="B8478" s="58" t="s">
        <v>17533</v>
      </c>
    </row>
    <row r="8479" spans="1:2" x14ac:dyDescent="0.25">
      <c r="A8479" s="57">
        <v>42152213</v>
      </c>
      <c r="B8479" s="58" t="s">
        <v>11663</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12837</v>
      </c>
    </row>
    <row r="8484" spans="1:2" x14ac:dyDescent="0.25">
      <c r="A8484" s="57">
        <v>42152218</v>
      </c>
      <c r="B8484" s="58" t="s">
        <v>9168</v>
      </c>
    </row>
    <row r="8485" spans="1:2" x14ac:dyDescent="0.25">
      <c r="A8485" s="57">
        <v>42152219</v>
      </c>
      <c r="B8485" s="58" t="s">
        <v>13057</v>
      </c>
    </row>
    <row r="8486" spans="1:2" x14ac:dyDescent="0.25">
      <c r="A8486" s="57">
        <v>42152220</v>
      </c>
      <c r="B8486" s="58" t="s">
        <v>12425</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12730</v>
      </c>
    </row>
    <row r="8493" spans="1:2" x14ac:dyDescent="0.25">
      <c r="A8493" s="57">
        <v>42152303</v>
      </c>
      <c r="B8493" s="58" t="s">
        <v>11509</v>
      </c>
    </row>
    <row r="8494" spans="1:2" x14ac:dyDescent="0.25">
      <c r="A8494" s="57">
        <v>42152304</v>
      </c>
      <c r="B8494" s="58" t="s">
        <v>11108</v>
      </c>
    </row>
    <row r="8495" spans="1:2" x14ac:dyDescent="0.25">
      <c r="A8495" s="57">
        <v>42152305</v>
      </c>
      <c r="B8495" s="58" t="s">
        <v>18294</v>
      </c>
    </row>
    <row r="8496" spans="1:2" x14ac:dyDescent="0.25">
      <c r="A8496" s="57">
        <v>42152306</v>
      </c>
      <c r="B8496" s="58" t="s">
        <v>18363</v>
      </c>
    </row>
    <row r="8497" spans="1:2" x14ac:dyDescent="0.25">
      <c r="A8497" s="57">
        <v>42152307</v>
      </c>
      <c r="B8497" s="58" t="s">
        <v>10850</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10004</v>
      </c>
    </row>
    <row r="8502" spans="1:2" x14ac:dyDescent="0.25">
      <c r="A8502" s="57">
        <v>42152405</v>
      </c>
      <c r="B8502" s="58" t="s">
        <v>8143</v>
      </c>
    </row>
    <row r="8503" spans="1:2" x14ac:dyDescent="0.25">
      <c r="A8503" s="57">
        <v>42152406</v>
      </c>
      <c r="B8503" s="58" t="s">
        <v>2038</v>
      </c>
    </row>
    <row r="8504" spans="1:2" x14ac:dyDescent="0.25">
      <c r="A8504" s="57">
        <v>42152407</v>
      </c>
      <c r="B8504" s="58" t="s">
        <v>14669</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10282</v>
      </c>
    </row>
    <row r="8510" spans="1:2" x14ac:dyDescent="0.25">
      <c r="A8510" s="57">
        <v>42152413</v>
      </c>
      <c r="B8510" s="58" t="s">
        <v>982</v>
      </c>
    </row>
    <row r="8511" spans="1:2" x14ac:dyDescent="0.25">
      <c r="A8511" s="57">
        <v>42152414</v>
      </c>
      <c r="B8511" s="58" t="s">
        <v>9674</v>
      </c>
    </row>
    <row r="8512" spans="1:2" x14ac:dyDescent="0.25">
      <c r="A8512" s="57">
        <v>42152415</v>
      </c>
      <c r="B8512" s="58" t="s">
        <v>18267</v>
      </c>
    </row>
    <row r="8513" spans="1:2" x14ac:dyDescent="0.25">
      <c r="A8513" s="57">
        <v>42152416</v>
      </c>
      <c r="B8513" s="58" t="s">
        <v>11885</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17143</v>
      </c>
    </row>
    <row r="8519" spans="1:2" x14ac:dyDescent="0.25">
      <c r="A8519" s="57">
        <v>42152422</v>
      </c>
      <c r="B8519" s="58" t="s">
        <v>11589</v>
      </c>
    </row>
    <row r="8520" spans="1:2" x14ac:dyDescent="0.25">
      <c r="A8520" s="57">
        <v>42152423</v>
      </c>
      <c r="B8520" s="58" t="s">
        <v>3040</v>
      </c>
    </row>
    <row r="8521" spans="1:2" x14ac:dyDescent="0.25">
      <c r="A8521" s="57">
        <v>42152424</v>
      </c>
      <c r="B8521" s="58" t="s">
        <v>13166</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7957</v>
      </c>
    </row>
    <row r="8533" spans="1:2" x14ac:dyDescent="0.25">
      <c r="A8533" s="57">
        <v>42152436</v>
      </c>
      <c r="B8533" s="58" t="s">
        <v>4994</v>
      </c>
    </row>
    <row r="8534" spans="1:2" x14ac:dyDescent="0.25">
      <c r="A8534" s="57">
        <v>42152437</v>
      </c>
      <c r="B8534" s="58" t="s">
        <v>13560</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15451</v>
      </c>
    </row>
    <row r="8543" spans="1:2" x14ac:dyDescent="0.25">
      <c r="A8543" s="57">
        <v>42152446</v>
      </c>
      <c r="B8543" s="58" t="s">
        <v>14209</v>
      </c>
    </row>
    <row r="8544" spans="1:2" x14ac:dyDescent="0.25">
      <c r="A8544" s="57">
        <v>42152447</v>
      </c>
      <c r="B8544" s="58" t="s">
        <v>11287</v>
      </c>
    </row>
    <row r="8545" spans="1:2" x14ac:dyDescent="0.25">
      <c r="A8545" s="57">
        <v>42152449</v>
      </c>
      <c r="B8545" s="58" t="s">
        <v>10377</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15439</v>
      </c>
    </row>
    <row r="8551" spans="1:2" x14ac:dyDescent="0.25">
      <c r="A8551" s="57">
        <v>42152455</v>
      </c>
      <c r="B8551" s="58" t="s">
        <v>13738</v>
      </c>
    </row>
    <row r="8552" spans="1:2" x14ac:dyDescent="0.25">
      <c r="A8552" s="57">
        <v>42152456</v>
      </c>
      <c r="B8552" s="58" t="s">
        <v>16383</v>
      </c>
    </row>
    <row r="8553" spans="1:2" x14ac:dyDescent="0.25">
      <c r="A8553" s="57">
        <v>42152457</v>
      </c>
      <c r="B8553" s="58" t="s">
        <v>15381</v>
      </c>
    </row>
    <row r="8554" spans="1:2" x14ac:dyDescent="0.25">
      <c r="A8554" s="57">
        <v>42152458</v>
      </c>
      <c r="B8554" s="58" t="s">
        <v>11864</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10119</v>
      </c>
    </row>
    <row r="8563" spans="1:2" x14ac:dyDescent="0.25">
      <c r="A8563" s="57">
        <v>42152502</v>
      </c>
      <c r="B8563" s="58" t="s">
        <v>10178</v>
      </c>
    </row>
    <row r="8564" spans="1:2" x14ac:dyDescent="0.25">
      <c r="A8564" s="57">
        <v>42152503</v>
      </c>
      <c r="B8564" s="58" t="s">
        <v>8305</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10352</v>
      </c>
    </row>
    <row r="8571" spans="1:2" x14ac:dyDescent="0.25">
      <c r="A8571" s="57">
        <v>42152510</v>
      </c>
      <c r="B8571" s="58" t="s">
        <v>10206</v>
      </c>
    </row>
    <row r="8572" spans="1:2" x14ac:dyDescent="0.25">
      <c r="A8572" s="57">
        <v>42152511</v>
      </c>
      <c r="B8572" s="58" t="s">
        <v>1979</v>
      </c>
    </row>
    <row r="8573" spans="1:2" x14ac:dyDescent="0.25">
      <c r="A8573" s="57">
        <v>42152512</v>
      </c>
      <c r="B8573" s="58" t="s">
        <v>8991</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9876</v>
      </c>
    </row>
    <row r="8579" spans="1:2" x14ac:dyDescent="0.25">
      <c r="A8579" s="57">
        <v>42152519</v>
      </c>
      <c r="B8579" s="58" t="s">
        <v>6490</v>
      </c>
    </row>
    <row r="8580" spans="1:2" x14ac:dyDescent="0.25">
      <c r="A8580" s="57">
        <v>42152520</v>
      </c>
      <c r="B8580" s="58" t="s">
        <v>9686</v>
      </c>
    </row>
    <row r="8581" spans="1:2" x14ac:dyDescent="0.25">
      <c r="A8581" s="57">
        <v>42152601</v>
      </c>
      <c r="B8581" s="58" t="s">
        <v>16369</v>
      </c>
    </row>
    <row r="8582" spans="1:2" x14ac:dyDescent="0.25">
      <c r="A8582" s="57">
        <v>42152602</v>
      </c>
      <c r="B8582" s="58" t="s">
        <v>17883</v>
      </c>
    </row>
    <row r="8583" spans="1:2" x14ac:dyDescent="0.25">
      <c r="A8583" s="57">
        <v>42152603</v>
      </c>
      <c r="B8583" s="58" t="s">
        <v>13576</v>
      </c>
    </row>
    <row r="8584" spans="1:2" x14ac:dyDescent="0.25">
      <c r="A8584" s="57">
        <v>42152604</v>
      </c>
      <c r="B8584" s="58" t="s">
        <v>16297</v>
      </c>
    </row>
    <row r="8585" spans="1:2" x14ac:dyDescent="0.25">
      <c r="A8585" s="57">
        <v>42152605</v>
      </c>
      <c r="B8585" s="58" t="s">
        <v>13489</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10320</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12008</v>
      </c>
    </row>
    <row r="8607" spans="1:2" x14ac:dyDescent="0.25">
      <c r="A8607" s="57">
        <v>42152803</v>
      </c>
      <c r="B8607" s="58" t="s">
        <v>4482</v>
      </c>
    </row>
    <row r="8608" spans="1:2" x14ac:dyDescent="0.25">
      <c r="A8608" s="57">
        <v>42152804</v>
      </c>
      <c r="B8608" s="58" t="s">
        <v>10846</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11280</v>
      </c>
    </row>
    <row r="8613" spans="1:2" x14ac:dyDescent="0.25">
      <c r="A8613" s="57">
        <v>42152809</v>
      </c>
      <c r="B8613" s="58" t="s">
        <v>11704</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9912</v>
      </c>
    </row>
    <row r="8619" spans="1:2" x14ac:dyDescent="0.25">
      <c r="A8619" s="57">
        <v>42161505</v>
      </c>
      <c r="B8619" s="58" t="s">
        <v>11725</v>
      </c>
    </row>
    <row r="8620" spans="1:2" x14ac:dyDescent="0.25">
      <c r="A8620" s="57">
        <v>42161506</v>
      </c>
      <c r="B8620" s="58" t="s">
        <v>3595</v>
      </c>
    </row>
    <row r="8621" spans="1:2" x14ac:dyDescent="0.25">
      <c r="A8621" s="57">
        <v>42161507</v>
      </c>
      <c r="B8621" s="58" t="s">
        <v>15269</v>
      </c>
    </row>
    <row r="8622" spans="1:2" x14ac:dyDescent="0.25">
      <c r="A8622" s="57">
        <v>42161508</v>
      </c>
      <c r="B8622" s="58" t="s">
        <v>11796</v>
      </c>
    </row>
    <row r="8623" spans="1:2" x14ac:dyDescent="0.25">
      <c r="A8623" s="57">
        <v>42161509</v>
      </c>
      <c r="B8623" s="58" t="s">
        <v>5856</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11952</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6633</v>
      </c>
    </row>
    <row r="8636" spans="1:2" x14ac:dyDescent="0.25">
      <c r="A8636" s="57">
        <v>42161612</v>
      </c>
      <c r="B8636" s="58" t="s">
        <v>14678</v>
      </c>
    </row>
    <row r="8637" spans="1:2" x14ac:dyDescent="0.25">
      <c r="A8637" s="57">
        <v>42161613</v>
      </c>
      <c r="B8637" s="58" t="s">
        <v>7936</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12192</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12052</v>
      </c>
    </row>
    <row r="8650" spans="1:2" x14ac:dyDescent="0.25">
      <c r="A8650" s="57">
        <v>42161626</v>
      </c>
      <c r="B8650" s="58" t="s">
        <v>7476</v>
      </c>
    </row>
    <row r="8651" spans="1:2" x14ac:dyDescent="0.25">
      <c r="A8651" s="57">
        <v>42161627</v>
      </c>
      <c r="B8651" s="58" t="s">
        <v>13710</v>
      </c>
    </row>
    <row r="8652" spans="1:2" x14ac:dyDescent="0.25">
      <c r="A8652" s="57">
        <v>42161628</v>
      </c>
      <c r="B8652" s="58" t="s">
        <v>11011</v>
      </c>
    </row>
    <row r="8653" spans="1:2" x14ac:dyDescent="0.25">
      <c r="A8653" s="57">
        <v>42161629</v>
      </c>
      <c r="B8653" s="58" t="s">
        <v>16904</v>
      </c>
    </row>
    <row r="8654" spans="1:2" x14ac:dyDescent="0.25">
      <c r="A8654" s="57">
        <v>42161630</v>
      </c>
      <c r="B8654" s="58" t="s">
        <v>4520</v>
      </c>
    </row>
    <row r="8655" spans="1:2" x14ac:dyDescent="0.25">
      <c r="A8655" s="57">
        <v>42161631</v>
      </c>
      <c r="B8655" s="58" t="s">
        <v>9923</v>
      </c>
    </row>
    <row r="8656" spans="1:2" x14ac:dyDescent="0.25">
      <c r="A8656" s="57">
        <v>42161632</v>
      </c>
      <c r="B8656" s="58" t="s">
        <v>6131</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10202</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11024</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13455</v>
      </c>
    </row>
    <row r="8676" spans="1:2" x14ac:dyDescent="0.25">
      <c r="A8676" s="57">
        <v>42171607</v>
      </c>
      <c r="B8676" s="58" t="s">
        <v>11835</v>
      </c>
    </row>
    <row r="8677" spans="1:2" x14ac:dyDescent="0.25">
      <c r="A8677" s="57">
        <v>42171608</v>
      </c>
      <c r="B8677" s="58" t="s">
        <v>5908</v>
      </c>
    </row>
    <row r="8678" spans="1:2" x14ac:dyDescent="0.25">
      <c r="A8678" s="57">
        <v>42171609</v>
      </c>
      <c r="B8678" s="58" t="s">
        <v>12275</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13688</v>
      </c>
    </row>
    <row r="8684" spans="1:2" x14ac:dyDescent="0.25">
      <c r="A8684" s="57">
        <v>42171701</v>
      </c>
      <c r="B8684" s="58" t="s">
        <v>5741</v>
      </c>
    </row>
    <row r="8685" spans="1:2" x14ac:dyDescent="0.25">
      <c r="A8685" s="57">
        <v>42171702</v>
      </c>
      <c r="B8685" s="58" t="s">
        <v>413</v>
      </c>
    </row>
    <row r="8686" spans="1:2" x14ac:dyDescent="0.25">
      <c r="A8686" s="57">
        <v>42171703</v>
      </c>
      <c r="B8686" s="58" t="s">
        <v>12796</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12547</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11064</v>
      </c>
    </row>
    <row r="8699" spans="1:2" x14ac:dyDescent="0.25">
      <c r="A8699" s="57">
        <v>42171906</v>
      </c>
      <c r="B8699" s="58" t="s">
        <v>9382</v>
      </c>
    </row>
    <row r="8700" spans="1:2" x14ac:dyDescent="0.25">
      <c r="A8700" s="57">
        <v>42171907</v>
      </c>
      <c r="B8700" s="58" t="s">
        <v>5639</v>
      </c>
    </row>
    <row r="8701" spans="1:2" x14ac:dyDescent="0.25">
      <c r="A8701" s="57">
        <v>42171908</v>
      </c>
      <c r="B8701" s="58" t="s">
        <v>12182</v>
      </c>
    </row>
    <row r="8702" spans="1:2" x14ac:dyDescent="0.25">
      <c r="A8702" s="57">
        <v>42171909</v>
      </c>
      <c r="B8702" s="58" t="s">
        <v>18414</v>
      </c>
    </row>
    <row r="8703" spans="1:2" x14ac:dyDescent="0.25">
      <c r="A8703" s="57">
        <v>42171910</v>
      </c>
      <c r="B8703" s="58" t="s">
        <v>13975</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12156</v>
      </c>
    </row>
    <row r="8709" spans="1:2" x14ac:dyDescent="0.25">
      <c r="A8709" s="57">
        <v>42171916</v>
      </c>
      <c r="B8709" s="58" t="s">
        <v>7112</v>
      </c>
    </row>
    <row r="8710" spans="1:2" x14ac:dyDescent="0.25">
      <c r="A8710" s="57">
        <v>42171917</v>
      </c>
      <c r="B8710" s="58" t="s">
        <v>12422</v>
      </c>
    </row>
    <row r="8711" spans="1:2" x14ac:dyDescent="0.25">
      <c r="A8711" s="57">
        <v>42171918</v>
      </c>
      <c r="B8711" s="58" t="s">
        <v>6881</v>
      </c>
    </row>
    <row r="8712" spans="1:2" x14ac:dyDescent="0.25">
      <c r="A8712" s="57">
        <v>42171919</v>
      </c>
      <c r="B8712" s="58" t="s">
        <v>17812</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12478</v>
      </c>
    </row>
    <row r="8718" spans="1:2" x14ac:dyDescent="0.25">
      <c r="A8718" s="57">
        <v>42172005</v>
      </c>
      <c r="B8718" s="58" t="s">
        <v>6508</v>
      </c>
    </row>
    <row r="8719" spans="1:2" x14ac:dyDescent="0.25">
      <c r="A8719" s="57">
        <v>42172006</v>
      </c>
      <c r="B8719" s="58" t="s">
        <v>947</v>
      </c>
    </row>
    <row r="8720" spans="1:2" x14ac:dyDescent="0.25">
      <c r="A8720" s="57">
        <v>42172007</v>
      </c>
      <c r="B8720" s="58" t="s">
        <v>11366</v>
      </c>
    </row>
    <row r="8721" spans="1:2" x14ac:dyDescent="0.25">
      <c r="A8721" s="57">
        <v>42172008</v>
      </c>
      <c r="B8721" s="58" t="s">
        <v>17888</v>
      </c>
    </row>
    <row r="8722" spans="1:2" x14ac:dyDescent="0.25">
      <c r="A8722" s="57">
        <v>42172009</v>
      </c>
      <c r="B8722" s="58" t="s">
        <v>9808</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9335</v>
      </c>
    </row>
    <row r="8727" spans="1:2" x14ac:dyDescent="0.25">
      <c r="A8727" s="57">
        <v>42172014</v>
      </c>
      <c r="B8727" s="58" t="s">
        <v>11213</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13493</v>
      </c>
    </row>
    <row r="8733" spans="1:2" x14ac:dyDescent="0.25">
      <c r="A8733" s="57">
        <v>42172103</v>
      </c>
      <c r="B8733" s="58" t="s">
        <v>14739</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11082</v>
      </c>
    </row>
    <row r="8738" spans="1:2" x14ac:dyDescent="0.25">
      <c r="A8738" s="57">
        <v>42181504</v>
      </c>
      <c r="B8738" s="58" t="s">
        <v>11159</v>
      </c>
    </row>
    <row r="8739" spans="1:2" x14ac:dyDescent="0.25">
      <c r="A8739" s="57">
        <v>42181505</v>
      </c>
      <c r="B8739" s="58" t="s">
        <v>13545</v>
      </c>
    </row>
    <row r="8740" spans="1:2" x14ac:dyDescent="0.25">
      <c r="A8740" s="57">
        <v>42181506</v>
      </c>
      <c r="B8740" s="58" t="s">
        <v>6830</v>
      </c>
    </row>
    <row r="8741" spans="1:2" x14ac:dyDescent="0.25">
      <c r="A8741" s="57">
        <v>42181507</v>
      </c>
      <c r="B8741" s="58" t="s">
        <v>13211</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17663</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12455</v>
      </c>
    </row>
    <row r="8753" spans="1:2" x14ac:dyDescent="0.25">
      <c r="A8753" s="57">
        <v>42181602</v>
      </c>
      <c r="B8753" s="58" t="s">
        <v>10958</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10237</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13237</v>
      </c>
    </row>
    <row r="8767" spans="1:2" x14ac:dyDescent="0.25">
      <c r="A8767" s="57">
        <v>42181706</v>
      </c>
      <c r="B8767" s="58" t="s">
        <v>12628</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10788</v>
      </c>
    </row>
    <row r="8773" spans="1:2" x14ac:dyDescent="0.25">
      <c r="A8773" s="57">
        <v>42181712</v>
      </c>
      <c r="B8773" s="58" t="s">
        <v>13209</v>
      </c>
    </row>
    <row r="8774" spans="1:2" x14ac:dyDescent="0.25">
      <c r="A8774" s="57">
        <v>42181713</v>
      </c>
      <c r="B8774" s="58" t="s">
        <v>4380</v>
      </c>
    </row>
    <row r="8775" spans="1:2" x14ac:dyDescent="0.25">
      <c r="A8775" s="57">
        <v>42181714</v>
      </c>
      <c r="B8775" s="58" t="s">
        <v>6139</v>
      </c>
    </row>
    <row r="8776" spans="1:2" x14ac:dyDescent="0.25">
      <c r="A8776" s="57">
        <v>42181715</v>
      </c>
      <c r="B8776" s="58" t="s">
        <v>7094</v>
      </c>
    </row>
    <row r="8777" spans="1:2" x14ac:dyDescent="0.25">
      <c r="A8777" s="57">
        <v>42181716</v>
      </c>
      <c r="B8777" s="58" t="s">
        <v>10435</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11199</v>
      </c>
    </row>
    <row r="8783" spans="1:2" x14ac:dyDescent="0.25">
      <c r="A8783" s="57">
        <v>42181803</v>
      </c>
      <c r="B8783" s="58" t="s">
        <v>9773</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11625</v>
      </c>
    </row>
    <row r="8792" spans="1:2" x14ac:dyDescent="0.25">
      <c r="A8792" s="57">
        <v>42181907</v>
      </c>
      <c r="B8792" s="58" t="s">
        <v>11459</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11969</v>
      </c>
    </row>
    <row r="8798" spans="1:2" x14ac:dyDescent="0.25">
      <c r="A8798" s="57">
        <v>42182002</v>
      </c>
      <c r="B8798" s="58" t="s">
        <v>1906</v>
      </c>
    </row>
    <row r="8799" spans="1:2" x14ac:dyDescent="0.25">
      <c r="A8799" s="57">
        <v>42182003</v>
      </c>
      <c r="B8799" s="58" t="s">
        <v>3138</v>
      </c>
    </row>
    <row r="8800" spans="1:2" x14ac:dyDescent="0.25">
      <c r="A8800" s="57">
        <v>42182004</v>
      </c>
      <c r="B8800" s="58" t="s">
        <v>13030</v>
      </c>
    </row>
    <row r="8801" spans="1:2" x14ac:dyDescent="0.25">
      <c r="A8801" s="57">
        <v>42182005</v>
      </c>
      <c r="B8801" s="58" t="s">
        <v>5265</v>
      </c>
    </row>
    <row r="8802" spans="1:2" x14ac:dyDescent="0.25">
      <c r="A8802" s="57">
        <v>42182006</v>
      </c>
      <c r="B8802" s="58" t="s">
        <v>10209</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11546</v>
      </c>
    </row>
    <row r="8812" spans="1:2" x14ac:dyDescent="0.25">
      <c r="A8812" s="57">
        <v>42182016</v>
      </c>
      <c r="B8812" s="58" t="s">
        <v>17981</v>
      </c>
    </row>
    <row r="8813" spans="1:2" x14ac:dyDescent="0.25">
      <c r="A8813" s="57">
        <v>42182017</v>
      </c>
      <c r="B8813" s="58" t="s">
        <v>10248</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12888</v>
      </c>
    </row>
    <row r="8820" spans="1:2" x14ac:dyDescent="0.25">
      <c r="A8820" s="57">
        <v>42182104</v>
      </c>
      <c r="B8820" s="58" t="s">
        <v>3937</v>
      </c>
    </row>
    <row r="8821" spans="1:2" x14ac:dyDescent="0.25">
      <c r="A8821" s="57">
        <v>42182105</v>
      </c>
      <c r="B8821" s="58" t="s">
        <v>13142</v>
      </c>
    </row>
    <row r="8822" spans="1:2" x14ac:dyDescent="0.25">
      <c r="A8822" s="57">
        <v>42182106</v>
      </c>
      <c r="B8822" s="58" t="s">
        <v>4368</v>
      </c>
    </row>
    <row r="8823" spans="1:2" x14ac:dyDescent="0.25">
      <c r="A8823" s="57">
        <v>42182107</v>
      </c>
      <c r="B8823" s="58" t="s">
        <v>13835</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12331</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11983</v>
      </c>
    </row>
    <row r="8843" spans="1:2" x14ac:dyDescent="0.25">
      <c r="A8843" s="57">
        <v>42182310</v>
      </c>
      <c r="B8843" s="58" t="s">
        <v>836</v>
      </c>
    </row>
    <row r="8844" spans="1:2" x14ac:dyDescent="0.25">
      <c r="A8844" s="57">
        <v>42182311</v>
      </c>
      <c r="B8844" s="58" t="s">
        <v>14836</v>
      </c>
    </row>
    <row r="8845" spans="1:2" x14ac:dyDescent="0.25">
      <c r="A8845" s="57">
        <v>42182312</v>
      </c>
      <c r="B8845" s="58" t="s">
        <v>12134</v>
      </c>
    </row>
    <row r="8846" spans="1:2" x14ac:dyDescent="0.25">
      <c r="A8846" s="57">
        <v>42182313</v>
      </c>
      <c r="B8846" s="58" t="s">
        <v>17210</v>
      </c>
    </row>
    <row r="8847" spans="1:2" x14ac:dyDescent="0.25">
      <c r="A8847" s="57">
        <v>42182314</v>
      </c>
      <c r="B8847" s="58" t="s">
        <v>7869</v>
      </c>
    </row>
    <row r="8848" spans="1:2" x14ac:dyDescent="0.25">
      <c r="A8848" s="57">
        <v>42182401</v>
      </c>
      <c r="B8848" s="58" t="s">
        <v>12369</v>
      </c>
    </row>
    <row r="8849" spans="1:2" x14ac:dyDescent="0.25">
      <c r="A8849" s="57">
        <v>42182402</v>
      </c>
      <c r="B8849" s="58" t="s">
        <v>6887</v>
      </c>
    </row>
    <row r="8850" spans="1:2" x14ac:dyDescent="0.25">
      <c r="A8850" s="57">
        <v>42182403</v>
      </c>
      <c r="B8850" s="58" t="s">
        <v>9700</v>
      </c>
    </row>
    <row r="8851" spans="1:2" x14ac:dyDescent="0.25">
      <c r="A8851" s="57">
        <v>42182404</v>
      </c>
      <c r="B8851" s="58" t="s">
        <v>14647</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12721</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9859</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14035</v>
      </c>
    </row>
    <row r="8882" spans="1:2" x14ac:dyDescent="0.25">
      <c r="A8882" s="57">
        <v>42182803</v>
      </c>
      <c r="B8882" s="58" t="s">
        <v>16794</v>
      </c>
    </row>
    <row r="8883" spans="1:2" x14ac:dyDescent="0.25">
      <c r="A8883" s="57">
        <v>42182804</v>
      </c>
      <c r="B8883" s="58" t="s">
        <v>8227</v>
      </c>
    </row>
    <row r="8884" spans="1:2" x14ac:dyDescent="0.25">
      <c r="A8884" s="57">
        <v>42182805</v>
      </c>
      <c r="B8884" s="58" t="s">
        <v>14708</v>
      </c>
    </row>
    <row r="8885" spans="1:2" x14ac:dyDescent="0.25">
      <c r="A8885" s="57">
        <v>42182806</v>
      </c>
      <c r="B8885" s="58" t="s">
        <v>16661</v>
      </c>
    </row>
    <row r="8886" spans="1:2" x14ac:dyDescent="0.25">
      <c r="A8886" s="57">
        <v>42182807</v>
      </c>
      <c r="B8886" s="58" t="s">
        <v>5194</v>
      </c>
    </row>
    <row r="8887" spans="1:2" x14ac:dyDescent="0.25">
      <c r="A8887" s="57">
        <v>42182808</v>
      </c>
      <c r="B8887" s="58" t="s">
        <v>9765</v>
      </c>
    </row>
    <row r="8888" spans="1:2" x14ac:dyDescent="0.25">
      <c r="A8888" s="57">
        <v>42182901</v>
      </c>
      <c r="B8888" s="58" t="s">
        <v>3252</v>
      </c>
    </row>
    <row r="8889" spans="1:2" x14ac:dyDescent="0.25">
      <c r="A8889" s="57">
        <v>42182902</v>
      </c>
      <c r="B8889" s="58" t="s">
        <v>3533</v>
      </c>
    </row>
    <row r="8890" spans="1:2" x14ac:dyDescent="0.25">
      <c r="A8890" s="57">
        <v>42182903</v>
      </c>
      <c r="B8890" s="58" t="s">
        <v>9916</v>
      </c>
    </row>
    <row r="8891" spans="1:2" x14ac:dyDescent="0.25">
      <c r="A8891" s="57">
        <v>42182904</v>
      </c>
      <c r="B8891" s="58" t="s">
        <v>11284</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12355</v>
      </c>
    </row>
    <row r="8901" spans="1:2" x14ac:dyDescent="0.25">
      <c r="A8901" s="57">
        <v>42183010</v>
      </c>
      <c r="B8901" s="58" t="s">
        <v>11591</v>
      </c>
    </row>
    <row r="8902" spans="1:2" x14ac:dyDescent="0.25">
      <c r="A8902" s="57">
        <v>42183011</v>
      </c>
      <c r="B8902" s="58" t="s">
        <v>18322</v>
      </c>
    </row>
    <row r="8903" spans="1:2" x14ac:dyDescent="0.25">
      <c r="A8903" s="57">
        <v>42183012</v>
      </c>
      <c r="B8903" s="58" t="s">
        <v>10427</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11539</v>
      </c>
    </row>
    <row r="8915" spans="1:2" x14ac:dyDescent="0.25">
      <c r="A8915" s="57">
        <v>42183024</v>
      </c>
      <c r="B8915" s="58" t="s">
        <v>6412</v>
      </c>
    </row>
    <row r="8916" spans="1:2" x14ac:dyDescent="0.25">
      <c r="A8916" s="57">
        <v>42183025</v>
      </c>
      <c r="B8916" s="58" t="s">
        <v>16519</v>
      </c>
    </row>
    <row r="8917" spans="1:2" x14ac:dyDescent="0.25">
      <c r="A8917" s="57">
        <v>42183026</v>
      </c>
      <c r="B8917" s="58" t="s">
        <v>12481</v>
      </c>
    </row>
    <row r="8918" spans="1:2" x14ac:dyDescent="0.25">
      <c r="A8918" s="57">
        <v>42183027</v>
      </c>
      <c r="B8918" s="58" t="s">
        <v>14071</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12773</v>
      </c>
    </row>
    <row r="8923" spans="1:2" x14ac:dyDescent="0.25">
      <c r="A8923" s="57">
        <v>42183032</v>
      </c>
      <c r="B8923" s="58" t="s">
        <v>18242</v>
      </c>
    </row>
    <row r="8924" spans="1:2" x14ac:dyDescent="0.25">
      <c r="A8924" s="57">
        <v>42183033</v>
      </c>
      <c r="B8924" s="58" t="s">
        <v>14360</v>
      </c>
    </row>
    <row r="8925" spans="1:2" x14ac:dyDescent="0.25">
      <c r="A8925" s="57">
        <v>42183034</v>
      </c>
      <c r="B8925" s="58" t="s">
        <v>11714</v>
      </c>
    </row>
    <row r="8926" spans="1:2" x14ac:dyDescent="0.25">
      <c r="A8926" s="57">
        <v>42183035</v>
      </c>
      <c r="B8926" s="58" t="s">
        <v>12079</v>
      </c>
    </row>
    <row r="8927" spans="1:2" x14ac:dyDescent="0.25">
      <c r="A8927" s="57">
        <v>42183036</v>
      </c>
      <c r="B8927" s="58" t="s">
        <v>14327</v>
      </c>
    </row>
    <row r="8928" spans="1:2" x14ac:dyDescent="0.25">
      <c r="A8928" s="57">
        <v>42183037</v>
      </c>
      <c r="B8928" s="58" t="s">
        <v>15991</v>
      </c>
    </row>
    <row r="8929" spans="1:2" x14ac:dyDescent="0.25">
      <c r="A8929" s="57">
        <v>42183038</v>
      </c>
      <c r="B8929" s="58" t="s">
        <v>10413</v>
      </c>
    </row>
    <row r="8930" spans="1:2" x14ac:dyDescent="0.25">
      <c r="A8930" s="57">
        <v>42183039</v>
      </c>
      <c r="B8930" s="58" t="s">
        <v>9197</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11709</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10143</v>
      </c>
    </row>
    <row r="8945" spans="1:2" x14ac:dyDescent="0.25">
      <c r="A8945" s="57">
        <v>42191601</v>
      </c>
      <c r="B8945" s="58" t="s">
        <v>17823</v>
      </c>
    </row>
    <row r="8946" spans="1:2" x14ac:dyDescent="0.25">
      <c r="A8946" s="57">
        <v>42191602</v>
      </c>
      <c r="B8946" s="58" t="s">
        <v>4795</v>
      </c>
    </row>
    <row r="8947" spans="1:2" x14ac:dyDescent="0.25">
      <c r="A8947" s="57">
        <v>42191603</v>
      </c>
      <c r="B8947" s="58" t="s">
        <v>389</v>
      </c>
    </row>
    <row r="8948" spans="1:2" x14ac:dyDescent="0.25">
      <c r="A8948" s="57">
        <v>42191604</v>
      </c>
      <c r="B8948" s="58" t="s">
        <v>11079</v>
      </c>
    </row>
    <row r="8949" spans="1:2" x14ac:dyDescent="0.25">
      <c r="A8949" s="57">
        <v>42191605</v>
      </c>
      <c r="B8949" s="58" t="s">
        <v>18013</v>
      </c>
    </row>
    <row r="8950" spans="1:2" x14ac:dyDescent="0.25">
      <c r="A8950" s="57">
        <v>42191606</v>
      </c>
      <c r="B8950" s="58" t="s">
        <v>11078</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13412</v>
      </c>
    </row>
    <row r="8958" spans="1:2" x14ac:dyDescent="0.25">
      <c r="A8958" s="57">
        <v>42191702</v>
      </c>
      <c r="B8958" s="58" t="s">
        <v>864</v>
      </c>
    </row>
    <row r="8959" spans="1:2" x14ac:dyDescent="0.25">
      <c r="A8959" s="57">
        <v>42191703</v>
      </c>
      <c r="B8959" s="58" t="s">
        <v>7620</v>
      </c>
    </row>
    <row r="8960" spans="1:2" x14ac:dyDescent="0.25">
      <c r="A8960" s="57">
        <v>42191704</v>
      </c>
      <c r="B8960" s="58" t="s">
        <v>10189</v>
      </c>
    </row>
    <row r="8961" spans="1:2" x14ac:dyDescent="0.25">
      <c r="A8961" s="57">
        <v>42191705</v>
      </c>
      <c r="B8961" s="58" t="s">
        <v>7162</v>
      </c>
    </row>
    <row r="8962" spans="1:2" x14ac:dyDescent="0.25">
      <c r="A8962" s="57">
        <v>42191706</v>
      </c>
      <c r="B8962" s="58" t="s">
        <v>13107</v>
      </c>
    </row>
    <row r="8963" spans="1:2" x14ac:dyDescent="0.25">
      <c r="A8963" s="57">
        <v>42191707</v>
      </c>
      <c r="B8963" s="58" t="s">
        <v>13398</v>
      </c>
    </row>
    <row r="8964" spans="1:2" x14ac:dyDescent="0.25">
      <c r="A8964" s="57">
        <v>42191708</v>
      </c>
      <c r="B8964" s="58" t="s">
        <v>12086</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10974</v>
      </c>
    </row>
    <row r="8970" spans="1:2" x14ac:dyDescent="0.25">
      <c r="A8970" s="57">
        <v>42191803</v>
      </c>
      <c r="B8970" s="58" t="s">
        <v>11144</v>
      </c>
    </row>
    <row r="8971" spans="1:2" x14ac:dyDescent="0.25">
      <c r="A8971" s="57">
        <v>42191804</v>
      </c>
      <c r="B8971" s="58" t="s">
        <v>12658</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11479</v>
      </c>
    </row>
    <row r="8977" spans="1:2" x14ac:dyDescent="0.25">
      <c r="A8977" s="57">
        <v>42191810</v>
      </c>
      <c r="B8977" s="58" t="s">
        <v>4003</v>
      </c>
    </row>
    <row r="8978" spans="1:2" x14ac:dyDescent="0.25">
      <c r="A8978" s="57">
        <v>42191811</v>
      </c>
      <c r="B8978" s="58" t="s">
        <v>15396</v>
      </c>
    </row>
    <row r="8979" spans="1:2" x14ac:dyDescent="0.25">
      <c r="A8979" s="57">
        <v>42191812</v>
      </c>
      <c r="B8979" s="58" t="s">
        <v>10665</v>
      </c>
    </row>
    <row r="8980" spans="1:2" x14ac:dyDescent="0.25">
      <c r="A8980" s="57">
        <v>42191813</v>
      </c>
      <c r="B8980" s="58" t="s">
        <v>9888</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11502</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10918</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12473</v>
      </c>
    </row>
    <row r="8999" spans="1:2" x14ac:dyDescent="0.25">
      <c r="A8999" s="57">
        <v>42192203</v>
      </c>
      <c r="B8999" s="58" t="s">
        <v>18420</v>
      </c>
    </row>
    <row r="9000" spans="1:2" x14ac:dyDescent="0.25">
      <c r="A9000" s="57">
        <v>42192204</v>
      </c>
      <c r="B9000" s="58" t="s">
        <v>13048</v>
      </c>
    </row>
    <row r="9001" spans="1:2" x14ac:dyDescent="0.25">
      <c r="A9001" s="57">
        <v>42192205</v>
      </c>
      <c r="B9001" s="58" t="s">
        <v>18429</v>
      </c>
    </row>
    <row r="9002" spans="1:2" x14ac:dyDescent="0.25">
      <c r="A9002" s="57">
        <v>42192206</v>
      </c>
      <c r="B9002" s="58" t="s">
        <v>10164</v>
      </c>
    </row>
    <row r="9003" spans="1:2" x14ac:dyDescent="0.25">
      <c r="A9003" s="57">
        <v>42192207</v>
      </c>
      <c r="B9003" s="58" t="s">
        <v>5804</v>
      </c>
    </row>
    <row r="9004" spans="1:2" x14ac:dyDescent="0.25">
      <c r="A9004" s="57">
        <v>42192208</v>
      </c>
      <c r="B9004" s="58" t="s">
        <v>12808</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17919</v>
      </c>
    </row>
    <row r="9012" spans="1:2" x14ac:dyDescent="0.25">
      <c r="A9012" s="57">
        <v>42192303</v>
      </c>
      <c r="B9012" s="58" t="s">
        <v>6964</v>
      </c>
    </row>
    <row r="9013" spans="1:2" x14ac:dyDescent="0.25">
      <c r="A9013" s="57">
        <v>42192304</v>
      </c>
      <c r="B9013" s="58" t="s">
        <v>13262</v>
      </c>
    </row>
    <row r="9014" spans="1:2" x14ac:dyDescent="0.25">
      <c r="A9014" s="57">
        <v>42192305</v>
      </c>
      <c r="B9014" s="58" t="s">
        <v>1049</v>
      </c>
    </row>
    <row r="9015" spans="1:2" x14ac:dyDescent="0.25">
      <c r="A9015" s="57">
        <v>42192401</v>
      </c>
      <c r="B9015" s="58" t="s">
        <v>12022</v>
      </c>
    </row>
    <row r="9016" spans="1:2" x14ac:dyDescent="0.25">
      <c r="A9016" s="57">
        <v>42192402</v>
      </c>
      <c r="B9016" s="58" t="s">
        <v>18616</v>
      </c>
    </row>
    <row r="9017" spans="1:2" x14ac:dyDescent="0.25">
      <c r="A9017" s="57">
        <v>42192403</v>
      </c>
      <c r="B9017" s="58" t="s">
        <v>407</v>
      </c>
    </row>
    <row r="9018" spans="1:2" x14ac:dyDescent="0.25">
      <c r="A9018" s="57">
        <v>42192404</v>
      </c>
      <c r="B9018" s="58" t="s">
        <v>11922</v>
      </c>
    </row>
    <row r="9019" spans="1:2" x14ac:dyDescent="0.25">
      <c r="A9019" s="57">
        <v>42192405</v>
      </c>
      <c r="B9019" s="58" t="s">
        <v>17709</v>
      </c>
    </row>
    <row r="9020" spans="1:2" x14ac:dyDescent="0.25">
      <c r="A9020" s="57">
        <v>42192406</v>
      </c>
      <c r="B9020" s="58" t="s">
        <v>4267</v>
      </c>
    </row>
    <row r="9021" spans="1:2" x14ac:dyDescent="0.25">
      <c r="A9021" s="57">
        <v>42192501</v>
      </c>
      <c r="B9021" s="58" t="s">
        <v>15740</v>
      </c>
    </row>
    <row r="9022" spans="1:2" x14ac:dyDescent="0.25">
      <c r="A9022" s="57">
        <v>42192502</v>
      </c>
      <c r="B9022" s="58" t="s">
        <v>10502</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5355</v>
      </c>
    </row>
    <row r="9044" spans="1:2" x14ac:dyDescent="0.25">
      <c r="A9044" s="57">
        <v>42201604</v>
      </c>
      <c r="B9044" s="58" t="s">
        <v>6540</v>
      </c>
    </row>
    <row r="9045" spans="1:2" x14ac:dyDescent="0.25">
      <c r="A9045" s="57">
        <v>42201605</v>
      </c>
      <c r="B9045" s="58" t="s">
        <v>11454</v>
      </c>
    </row>
    <row r="9046" spans="1:2" x14ac:dyDescent="0.25">
      <c r="A9046" s="57">
        <v>42201606</v>
      </c>
      <c r="B9046" s="58" t="s">
        <v>16770</v>
      </c>
    </row>
    <row r="9047" spans="1:2" x14ac:dyDescent="0.25">
      <c r="A9047" s="57">
        <v>42201607</v>
      </c>
      <c r="B9047" s="58" t="s">
        <v>9510</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11871</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6040</v>
      </c>
    </row>
    <row r="9059" spans="1:2" x14ac:dyDescent="0.25">
      <c r="A9059" s="57">
        <v>42201708</v>
      </c>
      <c r="B9059" s="58" t="s">
        <v>10469</v>
      </c>
    </row>
    <row r="9060" spans="1:2" x14ac:dyDescent="0.25">
      <c r="A9060" s="57">
        <v>42201709</v>
      </c>
      <c r="B9060" s="58" t="s">
        <v>4821</v>
      </c>
    </row>
    <row r="9061" spans="1:2" x14ac:dyDescent="0.25">
      <c r="A9061" s="57">
        <v>42201710</v>
      </c>
      <c r="B9061" s="58" t="s">
        <v>8322</v>
      </c>
    </row>
    <row r="9062" spans="1:2" x14ac:dyDescent="0.25">
      <c r="A9062" s="57">
        <v>42201711</v>
      </c>
      <c r="B9062" s="58" t="s">
        <v>11630</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12418</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12725</v>
      </c>
    </row>
    <row r="9080" spans="1:2" x14ac:dyDescent="0.25">
      <c r="A9080" s="57">
        <v>42201810</v>
      </c>
      <c r="B9080" s="58" t="s">
        <v>9998</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5547</v>
      </c>
    </row>
    <row r="9093" spans="1:2" x14ac:dyDescent="0.25">
      <c r="A9093" s="57">
        <v>42201823</v>
      </c>
      <c r="B9093" s="58" t="s">
        <v>17685</v>
      </c>
    </row>
    <row r="9094" spans="1:2" x14ac:dyDescent="0.25">
      <c r="A9094" s="57">
        <v>42201824</v>
      </c>
      <c r="B9094" s="58" t="s">
        <v>11604</v>
      </c>
    </row>
    <row r="9095" spans="1:2" x14ac:dyDescent="0.25">
      <c r="A9095" s="57">
        <v>42201825</v>
      </c>
      <c r="B9095" s="58" t="s">
        <v>12427</v>
      </c>
    </row>
    <row r="9096" spans="1:2" x14ac:dyDescent="0.25">
      <c r="A9096" s="57">
        <v>42201826</v>
      </c>
      <c r="B9096" s="58" t="s">
        <v>1634</v>
      </c>
    </row>
    <row r="9097" spans="1:2" x14ac:dyDescent="0.25">
      <c r="A9097" s="57">
        <v>42201827</v>
      </c>
      <c r="B9097" s="58" t="s">
        <v>8746</v>
      </c>
    </row>
    <row r="9098" spans="1:2" x14ac:dyDescent="0.25">
      <c r="A9098" s="57">
        <v>42201828</v>
      </c>
      <c r="B9098" s="58" t="s">
        <v>17760</v>
      </c>
    </row>
    <row r="9099" spans="1:2" x14ac:dyDescent="0.25">
      <c r="A9099" s="57">
        <v>42201829</v>
      </c>
      <c r="B9099" s="58" t="s">
        <v>10107</v>
      </c>
    </row>
    <row r="9100" spans="1:2" x14ac:dyDescent="0.25">
      <c r="A9100" s="57">
        <v>42201830</v>
      </c>
      <c r="B9100" s="58" t="s">
        <v>7564</v>
      </c>
    </row>
    <row r="9101" spans="1:2" x14ac:dyDescent="0.25">
      <c r="A9101" s="57">
        <v>42201831</v>
      </c>
      <c r="B9101" s="58" t="s">
        <v>11598</v>
      </c>
    </row>
    <row r="9102" spans="1:2" x14ac:dyDescent="0.25">
      <c r="A9102" s="57">
        <v>42201832</v>
      </c>
      <c r="B9102" s="58" t="s">
        <v>18476</v>
      </c>
    </row>
    <row r="9103" spans="1:2" x14ac:dyDescent="0.25">
      <c r="A9103" s="57">
        <v>42201833</v>
      </c>
      <c r="B9103" s="58" t="s">
        <v>9572</v>
      </c>
    </row>
    <row r="9104" spans="1:2" x14ac:dyDescent="0.25">
      <c r="A9104" s="57">
        <v>42201834</v>
      </c>
      <c r="B9104" s="58" t="s">
        <v>10039</v>
      </c>
    </row>
    <row r="9105" spans="1:2" x14ac:dyDescent="0.25">
      <c r="A9105" s="57">
        <v>42201835</v>
      </c>
      <c r="B9105" s="58" t="s">
        <v>9234</v>
      </c>
    </row>
    <row r="9106" spans="1:2" x14ac:dyDescent="0.25">
      <c r="A9106" s="57">
        <v>42201836</v>
      </c>
      <c r="B9106" s="58" t="s">
        <v>13364</v>
      </c>
    </row>
    <row r="9107" spans="1:2" x14ac:dyDescent="0.25">
      <c r="A9107" s="57">
        <v>42201837</v>
      </c>
      <c r="B9107" s="58" t="s">
        <v>13799</v>
      </c>
    </row>
    <row r="9108" spans="1:2" x14ac:dyDescent="0.25">
      <c r="A9108" s="57">
        <v>42201838</v>
      </c>
      <c r="B9108" s="58" t="s">
        <v>5674</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11030</v>
      </c>
    </row>
    <row r="9115" spans="1:2" x14ac:dyDescent="0.25">
      <c r="A9115" s="57">
        <v>42201904</v>
      </c>
      <c r="B9115" s="58" t="s">
        <v>12533</v>
      </c>
    </row>
    <row r="9116" spans="1:2" x14ac:dyDescent="0.25">
      <c r="A9116" s="57">
        <v>42201905</v>
      </c>
      <c r="B9116" s="58" t="s">
        <v>7527</v>
      </c>
    </row>
    <row r="9117" spans="1:2" x14ac:dyDescent="0.25">
      <c r="A9117" s="57">
        <v>42201906</v>
      </c>
      <c r="B9117" s="58" t="s">
        <v>12810</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17440</v>
      </c>
    </row>
    <row r="9122" spans="1:2" x14ac:dyDescent="0.25">
      <c r="A9122" s="57">
        <v>42202003</v>
      </c>
      <c r="B9122" s="58" t="s">
        <v>4611</v>
      </c>
    </row>
    <row r="9123" spans="1:2" x14ac:dyDescent="0.25">
      <c r="A9123" s="57">
        <v>42202004</v>
      </c>
      <c r="B9123" s="58" t="s">
        <v>18749</v>
      </c>
    </row>
    <row r="9124" spans="1:2" x14ac:dyDescent="0.25">
      <c r="A9124" s="57">
        <v>42202005</v>
      </c>
      <c r="B9124" s="58" t="s">
        <v>16273</v>
      </c>
    </row>
    <row r="9125" spans="1:2" x14ac:dyDescent="0.25">
      <c r="A9125" s="57">
        <v>42202101</v>
      </c>
      <c r="B9125" s="58" t="s">
        <v>14053</v>
      </c>
    </row>
    <row r="9126" spans="1:2" x14ac:dyDescent="0.25">
      <c r="A9126" s="57">
        <v>42202102</v>
      </c>
      <c r="B9126" s="58" t="s">
        <v>10420</v>
      </c>
    </row>
    <row r="9127" spans="1:2" x14ac:dyDescent="0.25">
      <c r="A9127" s="57">
        <v>42202103</v>
      </c>
      <c r="B9127" s="58" t="s">
        <v>7963</v>
      </c>
    </row>
    <row r="9128" spans="1:2" x14ac:dyDescent="0.25">
      <c r="A9128" s="57">
        <v>42202104</v>
      </c>
      <c r="B9128" s="58" t="s">
        <v>10174</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11855</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9890</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9640</v>
      </c>
    </row>
    <row r="9150" spans="1:2" x14ac:dyDescent="0.25">
      <c r="A9150" s="57">
        <v>42203202</v>
      </c>
      <c r="B9150" s="58" t="s">
        <v>12203</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8216</v>
      </c>
    </row>
    <row r="9155" spans="1:2" x14ac:dyDescent="0.25">
      <c r="A9155" s="57">
        <v>42203402</v>
      </c>
      <c r="B9155" s="58" t="s">
        <v>8204</v>
      </c>
    </row>
    <row r="9156" spans="1:2" x14ac:dyDescent="0.25">
      <c r="A9156" s="57">
        <v>42203403</v>
      </c>
      <c r="B9156" s="58" t="s">
        <v>10693</v>
      </c>
    </row>
    <row r="9157" spans="1:2" x14ac:dyDescent="0.25">
      <c r="A9157" s="57">
        <v>42203404</v>
      </c>
      <c r="B9157" s="58" t="s">
        <v>6112</v>
      </c>
    </row>
    <row r="9158" spans="1:2" x14ac:dyDescent="0.25">
      <c r="A9158" s="57">
        <v>42203405</v>
      </c>
      <c r="B9158" s="58" t="s">
        <v>14752</v>
      </c>
    </row>
    <row r="9159" spans="1:2" x14ac:dyDescent="0.25">
      <c r="A9159" s="57">
        <v>42203406</v>
      </c>
      <c r="B9159" s="58" t="s">
        <v>13243</v>
      </c>
    </row>
    <row r="9160" spans="1:2" x14ac:dyDescent="0.25">
      <c r="A9160" s="57">
        <v>42203407</v>
      </c>
      <c r="B9160" s="58" t="s">
        <v>8468</v>
      </c>
    </row>
    <row r="9161" spans="1:2" x14ac:dyDescent="0.25">
      <c r="A9161" s="57">
        <v>42203408</v>
      </c>
      <c r="B9161" s="58" t="s">
        <v>1015</v>
      </c>
    </row>
    <row r="9162" spans="1:2" x14ac:dyDescent="0.25">
      <c r="A9162" s="57">
        <v>42203409</v>
      </c>
      <c r="B9162" s="58" t="s">
        <v>12382</v>
      </c>
    </row>
    <row r="9163" spans="1:2" x14ac:dyDescent="0.25">
      <c r="A9163" s="57">
        <v>42203410</v>
      </c>
      <c r="B9163" s="58" t="s">
        <v>3479</v>
      </c>
    </row>
    <row r="9164" spans="1:2" x14ac:dyDescent="0.25">
      <c r="A9164" s="57">
        <v>42203411</v>
      </c>
      <c r="B9164" s="58" t="s">
        <v>17775</v>
      </c>
    </row>
    <row r="9165" spans="1:2" x14ac:dyDescent="0.25">
      <c r="A9165" s="57">
        <v>42203412</v>
      </c>
      <c r="B9165" s="58" t="s">
        <v>8701</v>
      </c>
    </row>
    <row r="9166" spans="1:2" x14ac:dyDescent="0.25">
      <c r="A9166" s="57">
        <v>42203501</v>
      </c>
      <c r="B9166" s="58" t="s">
        <v>12122</v>
      </c>
    </row>
    <row r="9167" spans="1:2" x14ac:dyDescent="0.25">
      <c r="A9167" s="57">
        <v>42203502</v>
      </c>
      <c r="B9167" s="58" t="s">
        <v>9110</v>
      </c>
    </row>
    <row r="9168" spans="1:2" x14ac:dyDescent="0.25">
      <c r="A9168" s="57">
        <v>42203503</v>
      </c>
      <c r="B9168" s="58" t="s">
        <v>13595</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12900</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13139</v>
      </c>
    </row>
    <row r="9181" spans="1:2" x14ac:dyDescent="0.25">
      <c r="A9181" s="57">
        <v>42203707</v>
      </c>
      <c r="B9181" s="58" t="s">
        <v>2878</v>
      </c>
    </row>
    <row r="9182" spans="1:2" x14ac:dyDescent="0.25">
      <c r="A9182" s="57">
        <v>42203708</v>
      </c>
      <c r="B9182" s="58" t="s">
        <v>10169</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11757</v>
      </c>
    </row>
    <row r="9187" spans="1:2" x14ac:dyDescent="0.25">
      <c r="A9187" s="57">
        <v>42203803</v>
      </c>
      <c r="B9187" s="58" t="s">
        <v>13646</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10706</v>
      </c>
    </row>
    <row r="9196" spans="1:2" x14ac:dyDescent="0.25">
      <c r="A9196" s="57">
        <v>42204007</v>
      </c>
      <c r="B9196" s="58" t="s">
        <v>17946</v>
      </c>
    </row>
    <row r="9197" spans="1:2" x14ac:dyDescent="0.25">
      <c r="A9197" s="57">
        <v>42204008</v>
      </c>
      <c r="B9197" s="58" t="s">
        <v>11361</v>
      </c>
    </row>
    <row r="9198" spans="1:2" x14ac:dyDescent="0.25">
      <c r="A9198" s="57">
        <v>42211501</v>
      </c>
      <c r="B9198" s="58" t="s">
        <v>17051</v>
      </c>
    </row>
    <row r="9199" spans="1:2" x14ac:dyDescent="0.25">
      <c r="A9199" s="57">
        <v>42211502</v>
      </c>
      <c r="B9199" s="58" t="s">
        <v>5785</v>
      </c>
    </row>
    <row r="9200" spans="1:2" x14ac:dyDescent="0.25">
      <c r="A9200" s="57">
        <v>42211503</v>
      </c>
      <c r="B9200" s="58" t="s">
        <v>11981</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11784</v>
      </c>
    </row>
    <row r="9205" spans="1:2" x14ac:dyDescent="0.25">
      <c r="A9205" s="57">
        <v>42211508</v>
      </c>
      <c r="B9205" s="58" t="s">
        <v>18020</v>
      </c>
    </row>
    <row r="9206" spans="1:2" x14ac:dyDescent="0.25">
      <c r="A9206" s="57">
        <v>42211509</v>
      </c>
      <c r="B9206" s="58" t="s">
        <v>4958</v>
      </c>
    </row>
    <row r="9207" spans="1:2" x14ac:dyDescent="0.25">
      <c r="A9207" s="57">
        <v>42211601</v>
      </c>
      <c r="B9207" s="58" t="s">
        <v>14074</v>
      </c>
    </row>
    <row r="9208" spans="1:2" x14ac:dyDescent="0.25">
      <c r="A9208" s="57">
        <v>42211602</v>
      </c>
      <c r="B9208" s="58" t="s">
        <v>3243</v>
      </c>
    </row>
    <row r="9209" spans="1:2" x14ac:dyDescent="0.25">
      <c r="A9209" s="57">
        <v>42211603</v>
      </c>
      <c r="B9209" s="58" t="s">
        <v>15107</v>
      </c>
    </row>
    <row r="9210" spans="1:2" x14ac:dyDescent="0.25">
      <c r="A9210" s="57">
        <v>42211604</v>
      </c>
      <c r="B9210" s="58" t="s">
        <v>17373</v>
      </c>
    </row>
    <row r="9211" spans="1:2" x14ac:dyDescent="0.25">
      <c r="A9211" s="57">
        <v>42211605</v>
      </c>
      <c r="B9211" s="58" t="s">
        <v>10483</v>
      </c>
    </row>
    <row r="9212" spans="1:2" x14ac:dyDescent="0.25">
      <c r="A9212" s="57">
        <v>42211606</v>
      </c>
      <c r="B9212" s="58" t="s">
        <v>14589</v>
      </c>
    </row>
    <row r="9213" spans="1:2" x14ac:dyDescent="0.25">
      <c r="A9213" s="57">
        <v>42211607</v>
      </c>
      <c r="B9213" s="58" t="s">
        <v>10675</v>
      </c>
    </row>
    <row r="9214" spans="1:2" x14ac:dyDescent="0.25">
      <c r="A9214" s="57">
        <v>42211608</v>
      </c>
      <c r="B9214" s="58" t="s">
        <v>13565</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12719</v>
      </c>
    </row>
    <row r="9219" spans="1:2" x14ac:dyDescent="0.25">
      <c r="A9219" s="57">
        <v>42211613</v>
      </c>
      <c r="B9219" s="58" t="s">
        <v>5551</v>
      </c>
    </row>
    <row r="9220" spans="1:2" x14ac:dyDescent="0.25">
      <c r="A9220" s="57">
        <v>42211614</v>
      </c>
      <c r="B9220" s="58" t="s">
        <v>13346</v>
      </c>
    </row>
    <row r="9221" spans="1:2" x14ac:dyDescent="0.25">
      <c r="A9221" s="57">
        <v>42211615</v>
      </c>
      <c r="B9221" s="58" t="s">
        <v>7360</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12595</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18051</v>
      </c>
    </row>
    <row r="9247" spans="1:2" x14ac:dyDescent="0.25">
      <c r="A9247" s="57">
        <v>42211811</v>
      </c>
      <c r="B9247" s="58" t="s">
        <v>14789</v>
      </c>
    </row>
    <row r="9248" spans="1:2" x14ac:dyDescent="0.25">
      <c r="A9248" s="57">
        <v>42211812</v>
      </c>
      <c r="B9248" s="58" t="s">
        <v>7755</v>
      </c>
    </row>
    <row r="9249" spans="1:2" x14ac:dyDescent="0.25">
      <c r="A9249" s="57">
        <v>42211813</v>
      </c>
      <c r="B9249" s="58" t="s">
        <v>12076</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10680</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11474</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12925</v>
      </c>
    </row>
    <row r="9275" spans="1:2" x14ac:dyDescent="0.25">
      <c r="A9275" s="57">
        <v>42212101</v>
      </c>
      <c r="B9275" s="58" t="s">
        <v>10481</v>
      </c>
    </row>
    <row r="9276" spans="1:2" x14ac:dyDescent="0.25">
      <c r="A9276" s="57">
        <v>42212102</v>
      </c>
      <c r="B9276" s="58" t="s">
        <v>1087</v>
      </c>
    </row>
    <row r="9277" spans="1:2" x14ac:dyDescent="0.25">
      <c r="A9277" s="57">
        <v>42212103</v>
      </c>
      <c r="B9277" s="58" t="s">
        <v>10887</v>
      </c>
    </row>
    <row r="9278" spans="1:2" x14ac:dyDescent="0.25">
      <c r="A9278" s="57">
        <v>42212104</v>
      </c>
      <c r="B9278" s="58" t="s">
        <v>16499</v>
      </c>
    </row>
    <row r="9279" spans="1:2" x14ac:dyDescent="0.25">
      <c r="A9279" s="57">
        <v>42212105</v>
      </c>
      <c r="B9279" s="58" t="s">
        <v>10743</v>
      </c>
    </row>
    <row r="9280" spans="1:2" x14ac:dyDescent="0.25">
      <c r="A9280" s="57">
        <v>42212106</v>
      </c>
      <c r="B9280" s="58" t="s">
        <v>18117</v>
      </c>
    </row>
    <row r="9281" spans="1:2" x14ac:dyDescent="0.25">
      <c r="A9281" s="57">
        <v>42212107</v>
      </c>
      <c r="B9281" s="58" t="s">
        <v>15377</v>
      </c>
    </row>
    <row r="9282" spans="1:2" x14ac:dyDescent="0.25">
      <c r="A9282" s="57">
        <v>42212108</v>
      </c>
      <c r="B9282" s="58" t="s">
        <v>13151</v>
      </c>
    </row>
    <row r="9283" spans="1:2" x14ac:dyDescent="0.25">
      <c r="A9283" s="57">
        <v>42212109</v>
      </c>
      <c r="B9283" s="58" t="s">
        <v>15301</v>
      </c>
    </row>
    <row r="9284" spans="1:2" x14ac:dyDescent="0.25">
      <c r="A9284" s="57">
        <v>42212110</v>
      </c>
      <c r="B9284" s="58" t="s">
        <v>10061</v>
      </c>
    </row>
    <row r="9285" spans="1:2" x14ac:dyDescent="0.25">
      <c r="A9285" s="57">
        <v>42212111</v>
      </c>
      <c r="B9285" s="58" t="s">
        <v>17213</v>
      </c>
    </row>
    <row r="9286" spans="1:2" x14ac:dyDescent="0.25">
      <c r="A9286" s="57">
        <v>42212112</v>
      </c>
      <c r="B9286" s="58" t="s">
        <v>12226</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5846</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5997</v>
      </c>
    </row>
    <row r="9303" spans="1:2" x14ac:dyDescent="0.25">
      <c r="A9303" s="57">
        <v>42221508</v>
      </c>
      <c r="B9303" s="58" t="s">
        <v>13105</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14565</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9777</v>
      </c>
    </row>
    <row r="9317" spans="1:2" x14ac:dyDescent="0.25">
      <c r="A9317" s="57">
        <v>42221611</v>
      </c>
      <c r="B9317" s="58" t="s">
        <v>13019</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10235</v>
      </c>
    </row>
    <row r="9322" spans="1:2" x14ac:dyDescent="0.25">
      <c r="A9322" s="57">
        <v>42221616</v>
      </c>
      <c r="B9322" s="58" t="s">
        <v>8327</v>
      </c>
    </row>
    <row r="9323" spans="1:2" x14ac:dyDescent="0.25">
      <c r="A9323" s="57">
        <v>42221617</v>
      </c>
      <c r="B9323" s="58" t="s">
        <v>9583</v>
      </c>
    </row>
    <row r="9324" spans="1:2" x14ac:dyDescent="0.25">
      <c r="A9324" s="57">
        <v>42221618</v>
      </c>
      <c r="B9324" s="58" t="s">
        <v>10096</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10809</v>
      </c>
    </row>
    <row r="9329" spans="1:2" x14ac:dyDescent="0.25">
      <c r="A9329" s="57">
        <v>42221705</v>
      </c>
      <c r="B9329" s="58" t="s">
        <v>9658</v>
      </c>
    </row>
    <row r="9330" spans="1:2" x14ac:dyDescent="0.25">
      <c r="A9330" s="57">
        <v>42221706</v>
      </c>
      <c r="B9330" s="58" t="s">
        <v>17311</v>
      </c>
    </row>
    <row r="9331" spans="1:2" x14ac:dyDescent="0.25">
      <c r="A9331" s="57">
        <v>42221707</v>
      </c>
      <c r="B9331" s="58" t="s">
        <v>13787</v>
      </c>
    </row>
    <row r="9332" spans="1:2" x14ac:dyDescent="0.25">
      <c r="A9332" s="57">
        <v>42221801</v>
      </c>
      <c r="B9332" s="58" t="s">
        <v>11345</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14293</v>
      </c>
    </row>
    <row r="9337" spans="1:2" x14ac:dyDescent="0.25">
      <c r="A9337" s="57">
        <v>42221903</v>
      </c>
      <c r="B9337" s="58" t="s">
        <v>11485</v>
      </c>
    </row>
    <row r="9338" spans="1:2" x14ac:dyDescent="0.25">
      <c r="A9338" s="57">
        <v>42222001</v>
      </c>
      <c r="B9338" s="58" t="s">
        <v>10905</v>
      </c>
    </row>
    <row r="9339" spans="1:2" x14ac:dyDescent="0.25">
      <c r="A9339" s="57">
        <v>42222002</v>
      </c>
      <c r="B9339" s="58" t="s">
        <v>17930</v>
      </c>
    </row>
    <row r="9340" spans="1:2" x14ac:dyDescent="0.25">
      <c r="A9340" s="57">
        <v>42222003</v>
      </c>
      <c r="B9340" s="58" t="s">
        <v>16002</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17665</v>
      </c>
    </row>
    <row r="9356" spans="1:2" x14ac:dyDescent="0.25">
      <c r="A9356" s="57">
        <v>42222305</v>
      </c>
      <c r="B9356" s="58" t="s">
        <v>11124</v>
      </c>
    </row>
    <row r="9357" spans="1:2" x14ac:dyDescent="0.25">
      <c r="A9357" s="57">
        <v>42222306</v>
      </c>
      <c r="B9357" s="58" t="s">
        <v>8500</v>
      </c>
    </row>
    <row r="9358" spans="1:2" x14ac:dyDescent="0.25">
      <c r="A9358" s="57">
        <v>42222307</v>
      </c>
      <c r="B9358" s="58" t="s">
        <v>10365</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13103</v>
      </c>
    </row>
    <row r="9365" spans="1:2" x14ac:dyDescent="0.25">
      <c r="A9365" s="57">
        <v>42231505</v>
      </c>
      <c r="B9365" s="58" t="s">
        <v>17271</v>
      </c>
    </row>
    <row r="9366" spans="1:2" x14ac:dyDescent="0.25">
      <c r="A9366" s="57">
        <v>42231506</v>
      </c>
      <c r="B9366" s="58" t="s">
        <v>10529</v>
      </c>
    </row>
    <row r="9367" spans="1:2" x14ac:dyDescent="0.25">
      <c r="A9367" s="57">
        <v>42231507</v>
      </c>
      <c r="B9367" s="58" t="s">
        <v>17393</v>
      </c>
    </row>
    <row r="9368" spans="1:2" x14ac:dyDescent="0.25">
      <c r="A9368" s="57">
        <v>42231508</v>
      </c>
      <c r="B9368" s="58" t="s">
        <v>9693</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10003</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6253</v>
      </c>
    </row>
    <row r="9393" spans="1:2" x14ac:dyDescent="0.25">
      <c r="A9393" s="57">
        <v>42231903</v>
      </c>
      <c r="B9393" s="58" t="s">
        <v>10778</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6162</v>
      </c>
    </row>
    <row r="9403" spans="1:2" x14ac:dyDescent="0.25">
      <c r="A9403" s="57">
        <v>42241507</v>
      </c>
      <c r="B9403" s="58" t="s">
        <v>17796</v>
      </c>
    </row>
    <row r="9404" spans="1:2" x14ac:dyDescent="0.25">
      <c r="A9404" s="57">
        <v>42241509</v>
      </c>
      <c r="B9404" s="58" t="s">
        <v>6728</v>
      </c>
    </row>
    <row r="9405" spans="1:2" x14ac:dyDescent="0.25">
      <c r="A9405" s="57">
        <v>42241510</v>
      </c>
      <c r="B9405" s="58" t="s">
        <v>7291</v>
      </c>
    </row>
    <row r="9406" spans="1:2" x14ac:dyDescent="0.25">
      <c r="A9406" s="57">
        <v>42241511</v>
      </c>
      <c r="B9406" s="58" t="s">
        <v>11476</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17241</v>
      </c>
    </row>
    <row r="9411" spans="1:2" x14ac:dyDescent="0.25">
      <c r="A9411" s="57">
        <v>42241601</v>
      </c>
      <c r="B9411" s="58" t="s">
        <v>8816</v>
      </c>
    </row>
    <row r="9412" spans="1:2" x14ac:dyDescent="0.25">
      <c r="A9412" s="57">
        <v>42241602</v>
      </c>
      <c r="B9412" s="58" t="s">
        <v>6666</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11120</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14518</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9694</v>
      </c>
    </row>
    <row r="9430" spans="1:2" x14ac:dyDescent="0.25">
      <c r="A9430" s="57">
        <v>42241806</v>
      </c>
      <c r="B9430" s="58" t="s">
        <v>18779</v>
      </c>
    </row>
    <row r="9431" spans="1:2" x14ac:dyDescent="0.25">
      <c r="A9431" s="57">
        <v>42241807</v>
      </c>
      <c r="B9431" s="58" t="s">
        <v>11870</v>
      </c>
    </row>
    <row r="9432" spans="1:2" x14ac:dyDescent="0.25">
      <c r="A9432" s="57">
        <v>42241808</v>
      </c>
      <c r="B9432" s="58" t="s">
        <v>8383</v>
      </c>
    </row>
    <row r="9433" spans="1:2" x14ac:dyDescent="0.25">
      <c r="A9433" s="57">
        <v>42241809</v>
      </c>
      <c r="B9433" s="58" t="s">
        <v>8215</v>
      </c>
    </row>
    <row r="9434" spans="1:2" x14ac:dyDescent="0.25">
      <c r="A9434" s="57">
        <v>42241810</v>
      </c>
      <c r="B9434" s="58" t="s">
        <v>10635</v>
      </c>
    </row>
    <row r="9435" spans="1:2" x14ac:dyDescent="0.25">
      <c r="A9435" s="57">
        <v>42241811</v>
      </c>
      <c r="B9435" s="58" t="s">
        <v>12479</v>
      </c>
    </row>
    <row r="9436" spans="1:2" x14ac:dyDescent="0.25">
      <c r="A9436" s="57">
        <v>42241901</v>
      </c>
      <c r="B9436" s="58" t="s">
        <v>17690</v>
      </c>
    </row>
    <row r="9437" spans="1:2" x14ac:dyDescent="0.25">
      <c r="A9437" s="57">
        <v>42241902</v>
      </c>
      <c r="B9437" s="58" t="s">
        <v>3675</v>
      </c>
    </row>
    <row r="9438" spans="1:2" x14ac:dyDescent="0.25">
      <c r="A9438" s="57">
        <v>42242001</v>
      </c>
      <c r="B9438" s="58" t="s">
        <v>12881</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13133</v>
      </c>
    </row>
    <row r="9445" spans="1:2" x14ac:dyDescent="0.25">
      <c r="A9445" s="57">
        <v>42242104</v>
      </c>
      <c r="B9445" s="58" t="s">
        <v>18787</v>
      </c>
    </row>
    <row r="9446" spans="1:2" x14ac:dyDescent="0.25">
      <c r="A9446" s="57">
        <v>42242105</v>
      </c>
      <c r="B9446" s="58" t="s">
        <v>9046</v>
      </c>
    </row>
    <row r="9447" spans="1:2" x14ac:dyDescent="0.25">
      <c r="A9447" s="57">
        <v>42242106</v>
      </c>
      <c r="B9447" s="58" t="s">
        <v>11470</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5835</v>
      </c>
    </row>
    <row r="9458" spans="1:2" x14ac:dyDescent="0.25">
      <c r="A9458" s="57">
        <v>42251506</v>
      </c>
      <c r="B9458" s="58" t="s">
        <v>10616</v>
      </c>
    </row>
    <row r="9459" spans="1:2" x14ac:dyDescent="0.25">
      <c r="A9459" s="57">
        <v>42251601</v>
      </c>
      <c r="B9459" s="58" t="s">
        <v>8205</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8313</v>
      </c>
    </row>
    <row r="9466" spans="1:2" x14ac:dyDescent="0.25">
      <c r="A9466" s="57">
        <v>42251608</v>
      </c>
      <c r="B9466" s="58" t="s">
        <v>12351</v>
      </c>
    </row>
    <row r="9467" spans="1:2" x14ac:dyDescent="0.25">
      <c r="A9467" s="57">
        <v>42251609</v>
      </c>
      <c r="B9467" s="58" t="s">
        <v>17762</v>
      </c>
    </row>
    <row r="9468" spans="1:2" x14ac:dyDescent="0.25">
      <c r="A9468" s="57">
        <v>42251610</v>
      </c>
      <c r="B9468" s="58" t="s">
        <v>13767</v>
      </c>
    </row>
    <row r="9469" spans="1:2" x14ac:dyDescent="0.25">
      <c r="A9469" s="57">
        <v>42251611</v>
      </c>
      <c r="B9469" s="58" t="s">
        <v>12335</v>
      </c>
    </row>
    <row r="9470" spans="1:2" x14ac:dyDescent="0.25">
      <c r="A9470" s="57">
        <v>42251612</v>
      </c>
      <c r="B9470" s="58" t="s">
        <v>5884</v>
      </c>
    </row>
    <row r="9471" spans="1:2" x14ac:dyDescent="0.25">
      <c r="A9471" s="57">
        <v>42251613</v>
      </c>
      <c r="B9471" s="58" t="s">
        <v>7742</v>
      </c>
    </row>
    <row r="9472" spans="1:2" x14ac:dyDescent="0.25">
      <c r="A9472" s="57">
        <v>42251614</v>
      </c>
      <c r="B9472" s="58" t="s">
        <v>6767</v>
      </c>
    </row>
    <row r="9473" spans="1:2" x14ac:dyDescent="0.25">
      <c r="A9473" s="57">
        <v>42251615</v>
      </c>
      <c r="B9473" s="58" t="s">
        <v>10185</v>
      </c>
    </row>
    <row r="9474" spans="1:2" x14ac:dyDescent="0.25">
      <c r="A9474" s="57">
        <v>42251616</v>
      </c>
      <c r="B9474" s="58" t="s">
        <v>6513</v>
      </c>
    </row>
    <row r="9475" spans="1:2" x14ac:dyDescent="0.25">
      <c r="A9475" s="57">
        <v>42251617</v>
      </c>
      <c r="B9475" s="58" t="s">
        <v>10594</v>
      </c>
    </row>
    <row r="9476" spans="1:2" x14ac:dyDescent="0.25">
      <c r="A9476" s="57">
        <v>42251618</v>
      </c>
      <c r="B9476" s="58" t="s">
        <v>13162</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13696</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12582</v>
      </c>
    </row>
    <row r="9487" spans="1:2" x14ac:dyDescent="0.25">
      <c r="A9487" s="57">
        <v>42251705</v>
      </c>
      <c r="B9487" s="58" t="s">
        <v>12748</v>
      </c>
    </row>
    <row r="9488" spans="1:2" x14ac:dyDescent="0.25">
      <c r="A9488" s="57">
        <v>42251706</v>
      </c>
      <c r="B9488" s="58" t="s">
        <v>13699</v>
      </c>
    </row>
    <row r="9489" spans="1:2" x14ac:dyDescent="0.25">
      <c r="A9489" s="57">
        <v>42251801</v>
      </c>
      <c r="B9489" s="58" t="s">
        <v>15300</v>
      </c>
    </row>
    <row r="9490" spans="1:2" x14ac:dyDescent="0.25">
      <c r="A9490" s="57">
        <v>42251802</v>
      </c>
      <c r="B9490" s="58" t="s">
        <v>7470</v>
      </c>
    </row>
    <row r="9491" spans="1:2" x14ac:dyDescent="0.25">
      <c r="A9491" s="57">
        <v>42251803</v>
      </c>
      <c r="B9491" s="58" t="s">
        <v>17988</v>
      </c>
    </row>
    <row r="9492" spans="1:2" x14ac:dyDescent="0.25">
      <c r="A9492" s="57">
        <v>42251804</v>
      </c>
      <c r="B9492" s="58" t="s">
        <v>12684</v>
      </c>
    </row>
    <row r="9493" spans="1:2" x14ac:dyDescent="0.25">
      <c r="A9493" s="57">
        <v>42251805</v>
      </c>
      <c r="B9493" s="58" t="s">
        <v>12064</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12728</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12607</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11028</v>
      </c>
    </row>
    <row r="9506" spans="1:2" x14ac:dyDescent="0.25">
      <c r="A9506" s="57">
        <v>42261513</v>
      </c>
      <c r="B9506" s="58" t="s">
        <v>12477</v>
      </c>
    </row>
    <row r="9507" spans="1:2" x14ac:dyDescent="0.25">
      <c r="A9507" s="57">
        <v>42261514</v>
      </c>
      <c r="B9507" s="58" t="s">
        <v>5707</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10226</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9778</v>
      </c>
    </row>
    <row r="9519" spans="1:2" x14ac:dyDescent="0.25">
      <c r="A9519" s="57">
        <v>42261610</v>
      </c>
      <c r="B9519" s="58" t="s">
        <v>13577</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6169</v>
      </c>
    </row>
    <row r="9525" spans="1:2" x14ac:dyDescent="0.25">
      <c r="A9525" s="57">
        <v>42261703</v>
      </c>
      <c r="B9525" s="58" t="s">
        <v>12194</v>
      </c>
    </row>
    <row r="9526" spans="1:2" x14ac:dyDescent="0.25">
      <c r="A9526" s="57">
        <v>42261704</v>
      </c>
      <c r="B9526" s="58" t="s">
        <v>10116</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5016</v>
      </c>
    </row>
    <row r="9534" spans="1:2" x14ac:dyDescent="0.25">
      <c r="A9534" s="57">
        <v>42261805</v>
      </c>
      <c r="B9534" s="58" t="s">
        <v>13541</v>
      </c>
    </row>
    <row r="9535" spans="1:2" x14ac:dyDescent="0.25">
      <c r="A9535" s="57">
        <v>42261806</v>
      </c>
      <c r="B9535" s="58" t="s">
        <v>11342</v>
      </c>
    </row>
    <row r="9536" spans="1:2" x14ac:dyDescent="0.25">
      <c r="A9536" s="57">
        <v>42261807</v>
      </c>
      <c r="B9536" s="58" t="s">
        <v>3032</v>
      </c>
    </row>
    <row r="9537" spans="1:2" x14ac:dyDescent="0.25">
      <c r="A9537" s="57">
        <v>42261808</v>
      </c>
      <c r="B9537" s="58" t="s">
        <v>6222</v>
      </c>
    </row>
    <row r="9538" spans="1:2" x14ac:dyDescent="0.25">
      <c r="A9538" s="57">
        <v>42261809</v>
      </c>
      <c r="B9538" s="58" t="s">
        <v>11939</v>
      </c>
    </row>
    <row r="9539" spans="1:2" x14ac:dyDescent="0.25">
      <c r="A9539" s="57">
        <v>42261810</v>
      </c>
      <c r="B9539" s="58" t="s">
        <v>11606</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12651</v>
      </c>
    </row>
    <row r="9544" spans="1:2" x14ac:dyDescent="0.25">
      <c r="A9544" s="57">
        <v>42262001</v>
      </c>
      <c r="B9544" s="58" t="s">
        <v>8729</v>
      </c>
    </row>
    <row r="9545" spans="1:2" x14ac:dyDescent="0.25">
      <c r="A9545" s="57">
        <v>42262002</v>
      </c>
      <c r="B9545" s="58" t="s">
        <v>10023</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11978</v>
      </c>
    </row>
    <row r="9554" spans="1:2" x14ac:dyDescent="0.25">
      <c r="A9554" s="57">
        <v>42262103</v>
      </c>
      <c r="B9554" s="58" t="s">
        <v>1618</v>
      </c>
    </row>
    <row r="9555" spans="1:2" x14ac:dyDescent="0.25">
      <c r="A9555" s="57">
        <v>42262104</v>
      </c>
      <c r="B9555" s="58" t="s">
        <v>12461</v>
      </c>
    </row>
    <row r="9556" spans="1:2" x14ac:dyDescent="0.25">
      <c r="A9556" s="57">
        <v>42262105</v>
      </c>
      <c r="B9556" s="58" t="s">
        <v>3756</v>
      </c>
    </row>
    <row r="9557" spans="1:2" x14ac:dyDescent="0.25">
      <c r="A9557" s="57">
        <v>42271501</v>
      </c>
      <c r="B9557" s="58" t="s">
        <v>16183</v>
      </c>
    </row>
    <row r="9558" spans="1:2" x14ac:dyDescent="0.25">
      <c r="A9558" s="57">
        <v>42271502</v>
      </c>
      <c r="B9558" s="58" t="s">
        <v>17513</v>
      </c>
    </row>
    <row r="9559" spans="1:2" x14ac:dyDescent="0.25">
      <c r="A9559" s="57">
        <v>42271503</v>
      </c>
      <c r="B9559" s="58" t="s">
        <v>8831</v>
      </c>
    </row>
    <row r="9560" spans="1:2" x14ac:dyDescent="0.25">
      <c r="A9560" s="57">
        <v>42271504</v>
      </c>
      <c r="B9560" s="58" t="s">
        <v>17475</v>
      </c>
    </row>
    <row r="9561" spans="1:2" x14ac:dyDescent="0.25">
      <c r="A9561" s="57">
        <v>42271505</v>
      </c>
      <c r="B9561" s="58" t="s">
        <v>3455</v>
      </c>
    </row>
    <row r="9562" spans="1:2" x14ac:dyDescent="0.25">
      <c r="A9562" s="57">
        <v>42271506</v>
      </c>
      <c r="B9562" s="58" t="s">
        <v>10109</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11058</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11750</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10739</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11575</v>
      </c>
    </row>
    <row r="9584" spans="1:2" x14ac:dyDescent="0.25">
      <c r="A9584" s="57">
        <v>42271704</v>
      </c>
      <c r="B9584" s="58" t="s">
        <v>12388</v>
      </c>
    </row>
    <row r="9585" spans="1:2" x14ac:dyDescent="0.25">
      <c r="A9585" s="57">
        <v>42271705</v>
      </c>
      <c r="B9585" s="58" t="s">
        <v>9030</v>
      </c>
    </row>
    <row r="9586" spans="1:2" x14ac:dyDescent="0.25">
      <c r="A9586" s="57">
        <v>42271706</v>
      </c>
      <c r="B9586" s="58" t="s">
        <v>10646</v>
      </c>
    </row>
    <row r="9587" spans="1:2" x14ac:dyDescent="0.25">
      <c r="A9587" s="57">
        <v>42271707</v>
      </c>
      <c r="B9587" s="58" t="s">
        <v>16809</v>
      </c>
    </row>
    <row r="9588" spans="1:2" x14ac:dyDescent="0.25">
      <c r="A9588" s="57">
        <v>42271708</v>
      </c>
      <c r="B9588" s="58" t="s">
        <v>2797</v>
      </c>
    </row>
    <row r="9589" spans="1:2" x14ac:dyDescent="0.25">
      <c r="A9589" s="57">
        <v>42271709</v>
      </c>
      <c r="B9589" s="58" t="s">
        <v>11602</v>
      </c>
    </row>
    <row r="9590" spans="1:2" x14ac:dyDescent="0.25">
      <c r="A9590" s="57">
        <v>42271710</v>
      </c>
      <c r="B9590" s="58" t="s">
        <v>11624</v>
      </c>
    </row>
    <row r="9591" spans="1:2" x14ac:dyDescent="0.25">
      <c r="A9591" s="57">
        <v>42271711</v>
      </c>
      <c r="B9591" s="58" t="s">
        <v>6065</v>
      </c>
    </row>
    <row r="9592" spans="1:2" x14ac:dyDescent="0.25">
      <c r="A9592" s="57">
        <v>42271712</v>
      </c>
      <c r="B9592" s="58" t="s">
        <v>16735</v>
      </c>
    </row>
    <row r="9593" spans="1:2" x14ac:dyDescent="0.25">
      <c r="A9593" s="57">
        <v>42271713</v>
      </c>
      <c r="B9593" s="58" t="s">
        <v>12389</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11806</v>
      </c>
    </row>
    <row r="9601" spans="1:2" x14ac:dyDescent="0.25">
      <c r="A9601" s="57">
        <v>42271721</v>
      </c>
      <c r="B9601" s="58" t="s">
        <v>14330</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12343</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15943</v>
      </c>
    </row>
    <row r="9619" spans="1:2" x14ac:dyDescent="0.25">
      <c r="A9619" s="57">
        <v>42271915</v>
      </c>
      <c r="B9619" s="58" t="s">
        <v>12038</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11689</v>
      </c>
    </row>
    <row r="9631" spans="1:2" x14ac:dyDescent="0.25">
      <c r="A9631" s="57">
        <v>42272012</v>
      </c>
      <c r="B9631" s="58" t="s">
        <v>18721</v>
      </c>
    </row>
    <row r="9632" spans="1:2" x14ac:dyDescent="0.25">
      <c r="A9632" s="57">
        <v>42272013</v>
      </c>
      <c r="B9632" s="58" t="s">
        <v>9389</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15051</v>
      </c>
    </row>
    <row r="9637" spans="1:2" x14ac:dyDescent="0.25">
      <c r="A9637" s="57">
        <v>42272101</v>
      </c>
      <c r="B9637" s="58" t="s">
        <v>10829</v>
      </c>
    </row>
    <row r="9638" spans="1:2" x14ac:dyDescent="0.25">
      <c r="A9638" s="57">
        <v>42272102</v>
      </c>
      <c r="B9638" s="58" t="s">
        <v>14019</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14695</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11586</v>
      </c>
    </row>
    <row r="9665" spans="1:2" x14ac:dyDescent="0.25">
      <c r="A9665" s="57">
        <v>42272302</v>
      </c>
      <c r="B9665" s="58" t="s">
        <v>9366</v>
      </c>
    </row>
    <row r="9666" spans="1:2" x14ac:dyDescent="0.25">
      <c r="A9666" s="57">
        <v>42272303</v>
      </c>
      <c r="B9666" s="58" t="s">
        <v>12521</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15016</v>
      </c>
    </row>
    <row r="9671" spans="1:2" x14ac:dyDescent="0.25">
      <c r="A9671" s="57">
        <v>42272401</v>
      </c>
      <c r="B9671" s="58" t="s">
        <v>14542</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10811</v>
      </c>
    </row>
    <row r="9693" spans="1:2" x14ac:dyDescent="0.25">
      <c r="A9693" s="57">
        <v>42281511</v>
      </c>
      <c r="B9693" s="58" t="s">
        <v>9493</v>
      </c>
    </row>
    <row r="9694" spans="1:2" x14ac:dyDescent="0.25">
      <c r="A9694" s="57">
        <v>42281512</v>
      </c>
      <c r="B9694" s="58" t="s">
        <v>11239</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9879</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12610</v>
      </c>
    </row>
    <row r="9713" spans="1:2" x14ac:dyDescent="0.25">
      <c r="A9713" s="57">
        <v>42281701</v>
      </c>
      <c r="B9713" s="58" t="s">
        <v>17349</v>
      </c>
    </row>
    <row r="9714" spans="1:2" x14ac:dyDescent="0.25">
      <c r="A9714" s="57">
        <v>42281702</v>
      </c>
      <c r="B9714" s="58" t="s">
        <v>12675</v>
      </c>
    </row>
    <row r="9715" spans="1:2" x14ac:dyDescent="0.25">
      <c r="A9715" s="57">
        <v>42281703</v>
      </c>
      <c r="B9715" s="58" t="s">
        <v>12483</v>
      </c>
    </row>
    <row r="9716" spans="1:2" x14ac:dyDescent="0.25">
      <c r="A9716" s="57">
        <v>42281704</v>
      </c>
      <c r="B9716" s="58" t="s">
        <v>15551</v>
      </c>
    </row>
    <row r="9717" spans="1:2" x14ac:dyDescent="0.25">
      <c r="A9717" s="57">
        <v>42281705</v>
      </c>
      <c r="B9717" s="58" t="s">
        <v>10296</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10983</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10258</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9931</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12240</v>
      </c>
    </row>
    <row r="9746" spans="1:2" x14ac:dyDescent="0.25">
      <c r="A9746" s="57">
        <v>42281913</v>
      </c>
      <c r="B9746" s="58" t="s">
        <v>1578</v>
      </c>
    </row>
    <row r="9747" spans="1:2" x14ac:dyDescent="0.25">
      <c r="A9747" s="57">
        <v>42281914</v>
      </c>
      <c r="B9747" s="58" t="s">
        <v>11801</v>
      </c>
    </row>
    <row r="9748" spans="1:2" x14ac:dyDescent="0.25">
      <c r="A9748" s="57">
        <v>42281915</v>
      </c>
      <c r="B9748" s="58" t="s">
        <v>16168</v>
      </c>
    </row>
    <row r="9749" spans="1:2" x14ac:dyDescent="0.25">
      <c r="A9749" s="57">
        <v>42281916</v>
      </c>
      <c r="B9749" s="58" t="s">
        <v>12505</v>
      </c>
    </row>
    <row r="9750" spans="1:2" x14ac:dyDescent="0.25">
      <c r="A9750" s="57">
        <v>42291501</v>
      </c>
      <c r="B9750" s="58" t="s">
        <v>12803</v>
      </c>
    </row>
    <row r="9751" spans="1:2" x14ac:dyDescent="0.25">
      <c r="A9751" s="57">
        <v>42291502</v>
      </c>
      <c r="B9751" s="58" t="s">
        <v>13858</v>
      </c>
    </row>
    <row r="9752" spans="1:2" x14ac:dyDescent="0.25">
      <c r="A9752" s="57">
        <v>42291601</v>
      </c>
      <c r="B9752" s="58" t="s">
        <v>12463</v>
      </c>
    </row>
    <row r="9753" spans="1:2" x14ac:dyDescent="0.25">
      <c r="A9753" s="57">
        <v>42291602</v>
      </c>
      <c r="B9753" s="58" t="s">
        <v>1930</v>
      </c>
    </row>
    <row r="9754" spans="1:2" x14ac:dyDescent="0.25">
      <c r="A9754" s="57">
        <v>42291603</v>
      </c>
      <c r="B9754" s="58" t="s">
        <v>5976</v>
      </c>
    </row>
    <row r="9755" spans="1:2" x14ac:dyDescent="0.25">
      <c r="A9755" s="57">
        <v>42291604</v>
      </c>
      <c r="B9755" s="58" t="s">
        <v>15400</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15597</v>
      </c>
    </row>
    <row r="9760" spans="1:2" x14ac:dyDescent="0.25">
      <c r="A9760" s="57">
        <v>42291609</v>
      </c>
      <c r="B9760" s="58" t="s">
        <v>5898</v>
      </c>
    </row>
    <row r="9761" spans="1:2" x14ac:dyDescent="0.25">
      <c r="A9761" s="57">
        <v>42291610</v>
      </c>
      <c r="B9761" s="58" t="s">
        <v>4094</v>
      </c>
    </row>
    <row r="9762" spans="1:2" x14ac:dyDescent="0.25">
      <c r="A9762" s="57">
        <v>42291611</v>
      </c>
      <c r="B9762" s="58" t="s">
        <v>12440</v>
      </c>
    </row>
    <row r="9763" spans="1:2" x14ac:dyDescent="0.25">
      <c r="A9763" s="57">
        <v>42291612</v>
      </c>
      <c r="B9763" s="58" t="s">
        <v>11892</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10581</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6058</v>
      </c>
    </row>
    <row r="9781" spans="1:2" x14ac:dyDescent="0.25">
      <c r="A9781" s="57">
        <v>42291706</v>
      </c>
      <c r="B9781" s="58" t="s">
        <v>9359</v>
      </c>
    </row>
    <row r="9782" spans="1:2" x14ac:dyDescent="0.25">
      <c r="A9782" s="57">
        <v>42291707</v>
      </c>
      <c r="B9782" s="58" t="s">
        <v>10932</v>
      </c>
    </row>
    <row r="9783" spans="1:2" x14ac:dyDescent="0.25">
      <c r="A9783" s="57">
        <v>42291708</v>
      </c>
      <c r="B9783" s="58" t="s">
        <v>15822</v>
      </c>
    </row>
    <row r="9784" spans="1:2" x14ac:dyDescent="0.25">
      <c r="A9784" s="57">
        <v>42291709</v>
      </c>
      <c r="B9784" s="58" t="s">
        <v>13773</v>
      </c>
    </row>
    <row r="9785" spans="1:2" x14ac:dyDescent="0.25">
      <c r="A9785" s="57">
        <v>42291801</v>
      </c>
      <c r="B9785" s="58" t="s">
        <v>10328</v>
      </c>
    </row>
    <row r="9786" spans="1:2" x14ac:dyDescent="0.25">
      <c r="A9786" s="57">
        <v>42291802</v>
      </c>
      <c r="B9786" s="58" t="s">
        <v>11593</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11984</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10987</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13078</v>
      </c>
    </row>
    <row r="9808" spans="1:2" x14ac:dyDescent="0.25">
      <c r="A9808" s="57">
        <v>42292502</v>
      </c>
      <c r="B9808" s="58" t="s">
        <v>12043</v>
      </c>
    </row>
    <row r="9809" spans="1:2" x14ac:dyDescent="0.25">
      <c r="A9809" s="57">
        <v>42292503</v>
      </c>
      <c r="B9809" s="58" t="s">
        <v>8639</v>
      </c>
    </row>
    <row r="9810" spans="1:2" x14ac:dyDescent="0.25">
      <c r="A9810" s="57">
        <v>42292504</v>
      </c>
      <c r="B9810" s="58" t="s">
        <v>10920</v>
      </c>
    </row>
    <row r="9811" spans="1:2" x14ac:dyDescent="0.25">
      <c r="A9811" s="57">
        <v>42292505</v>
      </c>
      <c r="B9811" s="58" t="s">
        <v>11440</v>
      </c>
    </row>
    <row r="9812" spans="1:2" x14ac:dyDescent="0.25">
      <c r="A9812" s="57">
        <v>42292601</v>
      </c>
      <c r="B9812" s="58" t="s">
        <v>6807</v>
      </c>
    </row>
    <row r="9813" spans="1:2" x14ac:dyDescent="0.25">
      <c r="A9813" s="57">
        <v>42292602</v>
      </c>
      <c r="B9813" s="58" t="s">
        <v>17646</v>
      </c>
    </row>
    <row r="9814" spans="1:2" x14ac:dyDescent="0.25">
      <c r="A9814" s="57">
        <v>42292603</v>
      </c>
      <c r="B9814" s="58" t="s">
        <v>15156</v>
      </c>
    </row>
    <row r="9815" spans="1:2" x14ac:dyDescent="0.25">
      <c r="A9815" s="57">
        <v>42292701</v>
      </c>
      <c r="B9815" s="58" t="s">
        <v>10879</v>
      </c>
    </row>
    <row r="9816" spans="1:2" x14ac:dyDescent="0.25">
      <c r="A9816" s="57">
        <v>42292702</v>
      </c>
      <c r="B9816" s="58" t="s">
        <v>18769</v>
      </c>
    </row>
    <row r="9817" spans="1:2" x14ac:dyDescent="0.25">
      <c r="A9817" s="57">
        <v>42292703</v>
      </c>
      <c r="B9817" s="58" t="s">
        <v>11504</v>
      </c>
    </row>
    <row r="9818" spans="1:2" x14ac:dyDescent="0.25">
      <c r="A9818" s="57">
        <v>42292704</v>
      </c>
      <c r="B9818" s="58" t="s">
        <v>12889</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12393</v>
      </c>
    </row>
    <row r="9823" spans="1:2" x14ac:dyDescent="0.25">
      <c r="A9823" s="57">
        <v>42292903</v>
      </c>
      <c r="B9823" s="58" t="s">
        <v>10593</v>
      </c>
    </row>
    <row r="9824" spans="1:2" x14ac:dyDescent="0.25">
      <c r="A9824" s="57">
        <v>42292904</v>
      </c>
      <c r="B9824" s="58" t="s">
        <v>18691</v>
      </c>
    </row>
    <row r="9825" spans="1:2" x14ac:dyDescent="0.25">
      <c r="A9825" s="57">
        <v>42292907</v>
      </c>
      <c r="B9825" s="58" t="s">
        <v>9612</v>
      </c>
    </row>
    <row r="9826" spans="1:2" x14ac:dyDescent="0.25">
      <c r="A9826" s="57">
        <v>42292908</v>
      </c>
      <c r="B9826" s="58" t="s">
        <v>3795</v>
      </c>
    </row>
    <row r="9827" spans="1:2" x14ac:dyDescent="0.25">
      <c r="A9827" s="57">
        <v>42293001</v>
      </c>
      <c r="B9827" s="58" t="s">
        <v>12606</v>
      </c>
    </row>
    <row r="9828" spans="1:2" x14ac:dyDescent="0.25">
      <c r="A9828" s="57">
        <v>42293002</v>
      </c>
      <c r="B9828" s="58" t="s">
        <v>11265</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5644</v>
      </c>
    </row>
    <row r="9833" spans="1:2" x14ac:dyDescent="0.25">
      <c r="A9833" s="57">
        <v>42293101</v>
      </c>
      <c r="B9833" s="58" t="s">
        <v>10922</v>
      </c>
    </row>
    <row r="9834" spans="1:2" x14ac:dyDescent="0.25">
      <c r="A9834" s="57">
        <v>42293102</v>
      </c>
      <c r="B9834" s="58" t="s">
        <v>4970</v>
      </c>
    </row>
    <row r="9835" spans="1:2" x14ac:dyDescent="0.25">
      <c r="A9835" s="57">
        <v>42293103</v>
      </c>
      <c r="B9835" s="58" t="s">
        <v>4386</v>
      </c>
    </row>
    <row r="9836" spans="1:2" x14ac:dyDescent="0.25">
      <c r="A9836" s="57">
        <v>42293104</v>
      </c>
      <c r="B9836" s="58" t="s">
        <v>17862</v>
      </c>
    </row>
    <row r="9837" spans="1:2" x14ac:dyDescent="0.25">
      <c r="A9837" s="57">
        <v>42293105</v>
      </c>
      <c r="B9837" s="58" t="s">
        <v>11996</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5573</v>
      </c>
    </row>
    <row r="9842" spans="1:2" x14ac:dyDescent="0.25">
      <c r="A9842" s="57">
        <v>42293110</v>
      </c>
      <c r="B9842" s="58" t="s">
        <v>9697</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11675</v>
      </c>
    </row>
    <row r="9847" spans="1:2" x14ac:dyDescent="0.25">
      <c r="A9847" s="57">
        <v>42293115</v>
      </c>
      <c r="B9847" s="58" t="s">
        <v>3628</v>
      </c>
    </row>
    <row r="9848" spans="1:2" x14ac:dyDescent="0.25">
      <c r="A9848" s="57">
        <v>42293116</v>
      </c>
      <c r="B9848" s="58" t="s">
        <v>11581</v>
      </c>
    </row>
    <row r="9849" spans="1:2" x14ac:dyDescent="0.25">
      <c r="A9849" s="57">
        <v>42293117</v>
      </c>
      <c r="B9849" s="58" t="s">
        <v>12793</v>
      </c>
    </row>
    <row r="9850" spans="1:2" x14ac:dyDescent="0.25">
      <c r="A9850" s="57">
        <v>42293118</v>
      </c>
      <c r="B9850" s="58" t="s">
        <v>17788</v>
      </c>
    </row>
    <row r="9851" spans="1:2" x14ac:dyDescent="0.25">
      <c r="A9851" s="57">
        <v>42293119</v>
      </c>
      <c r="B9851" s="58" t="s">
        <v>4873</v>
      </c>
    </row>
    <row r="9852" spans="1:2" x14ac:dyDescent="0.25">
      <c r="A9852" s="57">
        <v>42293120</v>
      </c>
      <c r="B9852" s="58" t="s">
        <v>12127</v>
      </c>
    </row>
    <row r="9853" spans="1:2" x14ac:dyDescent="0.25">
      <c r="A9853" s="57">
        <v>42293121</v>
      </c>
      <c r="B9853" s="58" t="s">
        <v>2207</v>
      </c>
    </row>
    <row r="9854" spans="1:2" x14ac:dyDescent="0.25">
      <c r="A9854" s="57">
        <v>42293122</v>
      </c>
      <c r="B9854" s="58" t="s">
        <v>8789</v>
      </c>
    </row>
    <row r="9855" spans="1:2" x14ac:dyDescent="0.25">
      <c r="A9855" s="57">
        <v>42293123</v>
      </c>
      <c r="B9855" s="58" t="s">
        <v>13542</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10524</v>
      </c>
    </row>
    <row r="9861" spans="1:2" x14ac:dyDescent="0.25">
      <c r="A9861" s="57">
        <v>42293129</v>
      </c>
      <c r="B9861" s="58" t="s">
        <v>16257</v>
      </c>
    </row>
    <row r="9862" spans="1:2" x14ac:dyDescent="0.25">
      <c r="A9862" s="57">
        <v>42293130</v>
      </c>
      <c r="B9862" s="58" t="s">
        <v>6842</v>
      </c>
    </row>
    <row r="9863" spans="1:2" x14ac:dyDescent="0.25">
      <c r="A9863" s="57">
        <v>42293131</v>
      </c>
      <c r="B9863" s="58" t="s">
        <v>10781</v>
      </c>
    </row>
    <row r="9864" spans="1:2" x14ac:dyDescent="0.25">
      <c r="A9864" s="57">
        <v>42293132</v>
      </c>
      <c r="B9864" s="58" t="s">
        <v>5866</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11193</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11168</v>
      </c>
    </row>
    <row r="9876" spans="1:2" x14ac:dyDescent="0.25">
      <c r="A9876" s="57">
        <v>42293304</v>
      </c>
      <c r="B9876" s="58" t="s">
        <v>11845</v>
      </c>
    </row>
    <row r="9877" spans="1:2" x14ac:dyDescent="0.25">
      <c r="A9877" s="57">
        <v>42293401</v>
      </c>
      <c r="B9877" s="58" t="s">
        <v>8442</v>
      </c>
    </row>
    <row r="9878" spans="1:2" x14ac:dyDescent="0.25">
      <c r="A9878" s="57">
        <v>42293403</v>
      </c>
      <c r="B9878" s="58" t="s">
        <v>16207</v>
      </c>
    </row>
    <row r="9879" spans="1:2" x14ac:dyDescent="0.25">
      <c r="A9879" s="57">
        <v>42293404</v>
      </c>
      <c r="B9879" s="58" t="s">
        <v>10979</v>
      </c>
    </row>
    <row r="9880" spans="1:2" x14ac:dyDescent="0.25">
      <c r="A9880" s="57">
        <v>42293405</v>
      </c>
      <c r="B9880" s="58" t="s">
        <v>9997</v>
      </c>
    </row>
    <row r="9881" spans="1:2" x14ac:dyDescent="0.25">
      <c r="A9881" s="57">
        <v>42293406</v>
      </c>
      <c r="B9881" s="58" t="s">
        <v>9139</v>
      </c>
    </row>
    <row r="9882" spans="1:2" x14ac:dyDescent="0.25">
      <c r="A9882" s="57">
        <v>42293407</v>
      </c>
      <c r="B9882" s="58" t="s">
        <v>12354</v>
      </c>
    </row>
    <row r="9883" spans="1:2" x14ac:dyDescent="0.25">
      <c r="A9883" s="57">
        <v>42293501</v>
      </c>
      <c r="B9883" s="58" t="s">
        <v>4061</v>
      </c>
    </row>
    <row r="9884" spans="1:2" x14ac:dyDescent="0.25">
      <c r="A9884" s="57">
        <v>42293502</v>
      </c>
      <c r="B9884" s="58" t="s">
        <v>8676</v>
      </c>
    </row>
    <row r="9885" spans="1:2" x14ac:dyDescent="0.25">
      <c r="A9885" s="57">
        <v>42293503</v>
      </c>
      <c r="B9885" s="58" t="s">
        <v>12815</v>
      </c>
    </row>
    <row r="9886" spans="1:2" x14ac:dyDescent="0.25">
      <c r="A9886" s="57">
        <v>42293504</v>
      </c>
      <c r="B9886" s="58" t="s">
        <v>14130</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5967</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9630</v>
      </c>
    </row>
    <row r="9906" spans="1:2" x14ac:dyDescent="0.25">
      <c r="A9906" s="57">
        <v>42294003</v>
      </c>
      <c r="B9906" s="58" t="s">
        <v>10604</v>
      </c>
    </row>
    <row r="9907" spans="1:2" x14ac:dyDescent="0.25">
      <c r="A9907" s="57">
        <v>42294101</v>
      </c>
      <c r="B9907" s="58" t="s">
        <v>6281</v>
      </c>
    </row>
    <row r="9908" spans="1:2" x14ac:dyDescent="0.25">
      <c r="A9908" s="57">
        <v>42294102</v>
      </c>
      <c r="B9908" s="58" t="s">
        <v>11861</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17935</v>
      </c>
    </row>
    <row r="9915" spans="1:2" x14ac:dyDescent="0.25">
      <c r="A9915" s="57">
        <v>42294206</v>
      </c>
      <c r="B9915" s="58" t="s">
        <v>11786</v>
      </c>
    </row>
    <row r="9916" spans="1:2" x14ac:dyDescent="0.25">
      <c r="A9916" s="57">
        <v>42294207</v>
      </c>
      <c r="B9916" s="58" t="s">
        <v>16292</v>
      </c>
    </row>
    <row r="9917" spans="1:2" x14ac:dyDescent="0.25">
      <c r="A9917" s="57">
        <v>42294208</v>
      </c>
      <c r="B9917" s="58" t="s">
        <v>16689</v>
      </c>
    </row>
    <row r="9918" spans="1:2" x14ac:dyDescent="0.25">
      <c r="A9918" s="57">
        <v>42294209</v>
      </c>
      <c r="B9918" s="58" t="s">
        <v>10366</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18046</v>
      </c>
    </row>
    <row r="9928" spans="1:2" x14ac:dyDescent="0.25">
      <c r="A9928" s="57">
        <v>42294219</v>
      </c>
      <c r="B9928" s="58" t="s">
        <v>8362</v>
      </c>
    </row>
    <row r="9929" spans="1:2" x14ac:dyDescent="0.25">
      <c r="A9929" s="57">
        <v>42294220</v>
      </c>
      <c r="B9929" s="58" t="s">
        <v>5781</v>
      </c>
    </row>
    <row r="9930" spans="1:2" x14ac:dyDescent="0.25">
      <c r="A9930" s="57">
        <v>42294301</v>
      </c>
      <c r="B9930" s="58" t="s">
        <v>11703</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13182</v>
      </c>
    </row>
    <row r="9938" spans="1:2" x14ac:dyDescent="0.25">
      <c r="A9938" s="57">
        <v>42294501</v>
      </c>
      <c r="B9938" s="58" t="s">
        <v>6122</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12825</v>
      </c>
    </row>
    <row r="9943" spans="1:2" x14ac:dyDescent="0.25">
      <c r="A9943" s="57">
        <v>42294506</v>
      </c>
      <c r="B9943" s="58" t="s">
        <v>452</v>
      </c>
    </row>
    <row r="9944" spans="1:2" x14ac:dyDescent="0.25">
      <c r="A9944" s="57">
        <v>42294507</v>
      </c>
      <c r="B9944" s="58" t="s">
        <v>18014</v>
      </c>
    </row>
    <row r="9945" spans="1:2" x14ac:dyDescent="0.25">
      <c r="A9945" s="57">
        <v>42294508</v>
      </c>
      <c r="B9945" s="58" t="s">
        <v>13222</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12184</v>
      </c>
    </row>
    <row r="9951" spans="1:2" x14ac:dyDescent="0.25">
      <c r="A9951" s="57">
        <v>42294514</v>
      </c>
      <c r="B9951" s="58" t="s">
        <v>11760</v>
      </c>
    </row>
    <row r="9952" spans="1:2" x14ac:dyDescent="0.25">
      <c r="A9952" s="57">
        <v>42294515</v>
      </c>
      <c r="B9952" s="58" t="s">
        <v>11555</v>
      </c>
    </row>
    <row r="9953" spans="1:2" x14ac:dyDescent="0.25">
      <c r="A9953" s="57">
        <v>42294516</v>
      </c>
      <c r="B9953" s="58" t="s">
        <v>6124</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9796</v>
      </c>
    </row>
    <row r="9958" spans="1:2" x14ac:dyDescent="0.25">
      <c r="A9958" s="57">
        <v>42294521</v>
      </c>
      <c r="B9958" s="58" t="s">
        <v>8308</v>
      </c>
    </row>
    <row r="9959" spans="1:2" x14ac:dyDescent="0.25">
      <c r="A9959" s="57">
        <v>42294522</v>
      </c>
      <c r="B9959" s="58" t="s">
        <v>16252</v>
      </c>
    </row>
    <row r="9960" spans="1:2" x14ac:dyDescent="0.25">
      <c r="A9960" s="57">
        <v>42294523</v>
      </c>
      <c r="B9960" s="58" t="s">
        <v>9895</v>
      </c>
    </row>
    <row r="9961" spans="1:2" x14ac:dyDescent="0.25">
      <c r="A9961" s="57">
        <v>42294524</v>
      </c>
      <c r="B9961" s="58" t="s">
        <v>10221</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9973</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11560</v>
      </c>
    </row>
    <row r="9973" spans="1:2" x14ac:dyDescent="0.25">
      <c r="A9973" s="57">
        <v>42294703</v>
      </c>
      <c r="B9973" s="58" t="s">
        <v>10976</v>
      </c>
    </row>
    <row r="9974" spans="1:2" x14ac:dyDescent="0.25">
      <c r="A9974" s="57">
        <v>42294704</v>
      </c>
      <c r="B9974" s="58" t="s">
        <v>2391</v>
      </c>
    </row>
    <row r="9975" spans="1:2" x14ac:dyDescent="0.25">
      <c r="A9975" s="57">
        <v>42294705</v>
      </c>
      <c r="B9975" s="58" t="s">
        <v>13377</v>
      </c>
    </row>
    <row r="9976" spans="1:2" x14ac:dyDescent="0.25">
      <c r="A9976" s="57">
        <v>42294706</v>
      </c>
      <c r="B9976" s="58" t="s">
        <v>4470</v>
      </c>
    </row>
    <row r="9977" spans="1:2" x14ac:dyDescent="0.25">
      <c r="A9977" s="57">
        <v>42294707</v>
      </c>
      <c r="B9977" s="58" t="s">
        <v>13880</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10713</v>
      </c>
    </row>
    <row r="9985" spans="1:2" x14ac:dyDescent="0.25">
      <c r="A9985" s="57">
        <v>42294715</v>
      </c>
      <c r="B9985" s="58" t="s">
        <v>15881</v>
      </c>
    </row>
    <row r="9986" spans="1:2" x14ac:dyDescent="0.25">
      <c r="A9986" s="57">
        <v>42294716</v>
      </c>
      <c r="B9986" s="58" t="s">
        <v>14334</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10851</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17617</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12494</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11235</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11293</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9733</v>
      </c>
    </row>
    <row r="10021" spans="1:2" x14ac:dyDescent="0.25">
      <c r="A10021" s="57">
        <v>42294921</v>
      </c>
      <c r="B10021" s="58" t="s">
        <v>14224</v>
      </c>
    </row>
    <row r="10022" spans="1:2" x14ac:dyDescent="0.25">
      <c r="A10022" s="57">
        <v>42294922</v>
      </c>
      <c r="B10022" s="58" t="s">
        <v>8660</v>
      </c>
    </row>
    <row r="10023" spans="1:2" x14ac:dyDescent="0.25">
      <c r="A10023" s="57">
        <v>42294923</v>
      </c>
      <c r="B10023" s="58" t="s">
        <v>14237</v>
      </c>
    </row>
    <row r="10024" spans="1:2" x14ac:dyDescent="0.25">
      <c r="A10024" s="57">
        <v>42294924</v>
      </c>
      <c r="B10024" s="58" t="s">
        <v>9798</v>
      </c>
    </row>
    <row r="10025" spans="1:2" x14ac:dyDescent="0.25">
      <c r="A10025" s="57">
        <v>42294925</v>
      </c>
      <c r="B10025" s="58" t="s">
        <v>10889</v>
      </c>
    </row>
    <row r="10026" spans="1:2" x14ac:dyDescent="0.25">
      <c r="A10026" s="57">
        <v>42294926</v>
      </c>
      <c r="B10026" s="58" t="s">
        <v>13995</v>
      </c>
    </row>
    <row r="10027" spans="1:2" x14ac:dyDescent="0.25">
      <c r="A10027" s="57">
        <v>42294927</v>
      </c>
      <c r="B10027" s="58" t="s">
        <v>10914</v>
      </c>
    </row>
    <row r="10028" spans="1:2" x14ac:dyDescent="0.25">
      <c r="A10028" s="57">
        <v>42294928</v>
      </c>
      <c r="B10028" s="58" t="s">
        <v>9943</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11917</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12783</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10852</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11322</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10451</v>
      </c>
    </row>
    <row r="10056" spans="1:2" x14ac:dyDescent="0.25">
      <c r="A10056" s="57">
        <v>42294956</v>
      </c>
      <c r="B10056" s="58" t="s">
        <v>9314</v>
      </c>
    </row>
    <row r="10057" spans="1:2" x14ac:dyDescent="0.25">
      <c r="A10057" s="57">
        <v>42295001</v>
      </c>
      <c r="B10057" s="58" t="s">
        <v>12292</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11616</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12097</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5870</v>
      </c>
    </row>
    <row r="10071" spans="1:2" x14ac:dyDescent="0.25">
      <c r="A10071" s="57">
        <v>42295015</v>
      </c>
      <c r="B10071" s="58" t="s">
        <v>12213</v>
      </c>
    </row>
    <row r="10072" spans="1:2" x14ac:dyDescent="0.25">
      <c r="A10072" s="57">
        <v>42295101</v>
      </c>
      <c r="B10072" s="58" t="s">
        <v>15658</v>
      </c>
    </row>
    <row r="10073" spans="1:2" x14ac:dyDescent="0.25">
      <c r="A10073" s="57">
        <v>42295102</v>
      </c>
      <c r="B10073" s="58" t="s">
        <v>11313</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10362</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13217</v>
      </c>
    </row>
    <row r="10082" spans="1:2" x14ac:dyDescent="0.25">
      <c r="A10082" s="57">
        <v>42295111</v>
      </c>
      <c r="B10082" s="58" t="s">
        <v>12819</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11979</v>
      </c>
    </row>
    <row r="10086" spans="1:2" x14ac:dyDescent="0.25">
      <c r="A10086" s="57">
        <v>42295115</v>
      </c>
      <c r="B10086" s="58" t="s">
        <v>11057</v>
      </c>
    </row>
    <row r="10087" spans="1:2" x14ac:dyDescent="0.25">
      <c r="A10087" s="57">
        <v>42295116</v>
      </c>
      <c r="B10087" s="58" t="s">
        <v>6753</v>
      </c>
    </row>
    <row r="10088" spans="1:2" x14ac:dyDescent="0.25">
      <c r="A10088" s="57">
        <v>42295117</v>
      </c>
      <c r="B10088" s="58" t="s">
        <v>11231</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10548</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17841</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12887</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11116</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12712</v>
      </c>
    </row>
    <row r="10121" spans="1:2" x14ac:dyDescent="0.25">
      <c r="A10121" s="57">
        <v>42295304</v>
      </c>
      <c r="B10121" s="58" t="s">
        <v>5091</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5473</v>
      </c>
    </row>
    <row r="10126" spans="1:2" x14ac:dyDescent="0.25">
      <c r="A10126" s="57">
        <v>42295401</v>
      </c>
      <c r="B10126" s="58" t="s">
        <v>10730</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11690</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10633</v>
      </c>
    </row>
    <row r="10135" spans="1:2" x14ac:dyDescent="0.25">
      <c r="A10135" s="57">
        <v>42295410</v>
      </c>
      <c r="B10135" s="58" t="s">
        <v>12701</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11036</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10884</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11964</v>
      </c>
    </row>
    <row r="10148" spans="1:2" x14ac:dyDescent="0.25">
      <c r="A10148" s="57">
        <v>42295423</v>
      </c>
      <c r="B10148" s="58" t="s">
        <v>1106</v>
      </c>
    </row>
    <row r="10149" spans="1:2" x14ac:dyDescent="0.25">
      <c r="A10149" s="57">
        <v>42295424</v>
      </c>
      <c r="B10149" s="58" t="s">
        <v>13224</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10476</v>
      </c>
    </row>
    <row r="10153" spans="1:2" x14ac:dyDescent="0.25">
      <c r="A10153" s="57">
        <v>42295428</v>
      </c>
      <c r="B10153" s="58" t="s">
        <v>6550</v>
      </c>
    </row>
    <row r="10154" spans="1:2" x14ac:dyDescent="0.25">
      <c r="A10154" s="57">
        <v>42295429</v>
      </c>
      <c r="B10154" s="58" t="s">
        <v>17682</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12838</v>
      </c>
    </row>
    <row r="10158" spans="1:2" x14ac:dyDescent="0.25">
      <c r="A10158" s="57">
        <v>42295433</v>
      </c>
      <c r="B10158" s="58" t="s">
        <v>10007</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9705</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15154</v>
      </c>
    </row>
    <row r="10167" spans="1:2" x14ac:dyDescent="0.25">
      <c r="A10167" s="57">
        <v>42295446</v>
      </c>
      <c r="B10167" s="58" t="s">
        <v>14127</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12618</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11488</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13170</v>
      </c>
    </row>
    <row r="10184" spans="1:2" x14ac:dyDescent="0.25">
      <c r="A10184" s="57">
        <v>42295502</v>
      </c>
      <c r="B10184" s="58" t="s">
        <v>12321</v>
      </c>
    </row>
    <row r="10185" spans="1:2" x14ac:dyDescent="0.25">
      <c r="A10185" s="57">
        <v>42295503</v>
      </c>
      <c r="B10185" s="58" t="s">
        <v>6231</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12286</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11146</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12089</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10402</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12589</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5855</v>
      </c>
    </row>
    <row r="10218" spans="1:2" x14ac:dyDescent="0.25">
      <c r="A10218" s="57">
        <v>42311510</v>
      </c>
      <c r="B10218" s="58" t="s">
        <v>10626</v>
      </c>
    </row>
    <row r="10219" spans="1:2" x14ac:dyDescent="0.25">
      <c r="A10219" s="57">
        <v>42311511</v>
      </c>
      <c r="B10219" s="58" t="s">
        <v>10183</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12125</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12188</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12557</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14156</v>
      </c>
    </row>
    <row r="10254" spans="1:2" x14ac:dyDescent="0.25">
      <c r="A10254" s="57">
        <v>42311903</v>
      </c>
      <c r="B10254" s="58" t="s">
        <v>7777</v>
      </c>
    </row>
    <row r="10255" spans="1:2" x14ac:dyDescent="0.25">
      <c r="A10255" s="57">
        <v>42312001</v>
      </c>
      <c r="B10255" s="58" t="s">
        <v>10208</v>
      </c>
    </row>
    <row r="10256" spans="1:2" x14ac:dyDescent="0.25">
      <c r="A10256" s="57">
        <v>42312002</v>
      </c>
      <c r="B10256" s="58" t="s">
        <v>12175</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10602</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11574</v>
      </c>
    </row>
    <row r="10264" spans="1:2" x14ac:dyDescent="0.25">
      <c r="A10264" s="57">
        <v>42312010</v>
      </c>
      <c r="B10264" s="58" t="s">
        <v>10172</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10959</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11850</v>
      </c>
    </row>
    <row r="10279" spans="1:2" x14ac:dyDescent="0.25">
      <c r="A10279" s="57">
        <v>42312112</v>
      </c>
      <c r="B10279" s="58" t="s">
        <v>2370</v>
      </c>
    </row>
    <row r="10280" spans="1:2" x14ac:dyDescent="0.25">
      <c r="A10280" s="57">
        <v>42312113</v>
      </c>
      <c r="B10280" s="58" t="s">
        <v>10383</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12706</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10603</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14262</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17963</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10053</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10894</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11054</v>
      </c>
    </row>
    <row r="10330" spans="1:2" x14ac:dyDescent="0.25">
      <c r="A10330" s="57">
        <v>43191614</v>
      </c>
      <c r="B10330" s="58" t="s">
        <v>12602</v>
      </c>
    </row>
    <row r="10331" spans="1:2" x14ac:dyDescent="0.25">
      <c r="A10331" s="57">
        <v>43191615</v>
      </c>
      <c r="B10331" s="58" t="s">
        <v>4348</v>
      </c>
    </row>
    <row r="10332" spans="1:2" x14ac:dyDescent="0.25">
      <c r="A10332" s="57">
        <v>43191616</v>
      </c>
      <c r="B10332" s="58" t="s">
        <v>11515</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9666</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11736</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13169</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10995</v>
      </c>
    </row>
    <row r="10357" spans="1:2" x14ac:dyDescent="0.25">
      <c r="A10357" s="57">
        <v>43201503</v>
      </c>
      <c r="B10357" s="58" t="s">
        <v>10628</v>
      </c>
    </row>
    <row r="10358" spans="1:2" x14ac:dyDescent="0.25">
      <c r="A10358" s="57">
        <v>43201507</v>
      </c>
      <c r="B10358" s="58" t="s">
        <v>4344</v>
      </c>
    </row>
    <row r="10359" spans="1:2" x14ac:dyDescent="0.25">
      <c r="A10359" s="57">
        <v>43201508</v>
      </c>
      <c r="B10359" s="58" t="s">
        <v>10487</v>
      </c>
    </row>
    <row r="10360" spans="1:2" x14ac:dyDescent="0.25">
      <c r="A10360" s="57">
        <v>43201509</v>
      </c>
      <c r="B10360" s="58" t="s">
        <v>11889</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15108</v>
      </c>
    </row>
    <row r="10373" spans="1:2" x14ac:dyDescent="0.25">
      <c r="A10373" s="57">
        <v>43201543</v>
      </c>
      <c r="B10373" s="58" t="s">
        <v>11257</v>
      </c>
    </row>
    <row r="10374" spans="1:2" x14ac:dyDescent="0.25">
      <c r="A10374" s="57">
        <v>43201544</v>
      </c>
      <c r="B10374" s="58" t="s">
        <v>12055</v>
      </c>
    </row>
    <row r="10375" spans="1:2" x14ac:dyDescent="0.25">
      <c r="A10375" s="57">
        <v>43201545</v>
      </c>
      <c r="B10375" s="58" t="s">
        <v>17040</v>
      </c>
    </row>
    <row r="10376" spans="1:2" x14ac:dyDescent="0.25">
      <c r="A10376" s="57">
        <v>43201546</v>
      </c>
      <c r="B10376" s="58" t="s">
        <v>10252</v>
      </c>
    </row>
    <row r="10377" spans="1:2" x14ac:dyDescent="0.25">
      <c r="A10377" s="57">
        <v>43201547</v>
      </c>
      <c r="B10377" s="58" t="s">
        <v>8087</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11373</v>
      </c>
    </row>
    <row r="10390" spans="1:2" x14ac:dyDescent="0.25">
      <c r="A10390" s="57">
        <v>43201611</v>
      </c>
      <c r="B10390" s="58" t="s">
        <v>9960</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10368</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9634</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9707</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12164</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12503</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11897</v>
      </c>
    </row>
    <row r="10445" spans="1:2" x14ac:dyDescent="0.25">
      <c r="A10445" s="57">
        <v>43211601</v>
      </c>
      <c r="B10445" s="58" t="s">
        <v>4902</v>
      </c>
    </row>
    <row r="10446" spans="1:2" x14ac:dyDescent="0.25">
      <c r="A10446" s="57">
        <v>43211602</v>
      </c>
      <c r="B10446" s="58" t="s">
        <v>11933</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12395</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10343</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12541</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11309</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10735</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13460</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13177</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11763</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13238</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12754</v>
      </c>
    </row>
    <row r="10505" spans="1:2" x14ac:dyDescent="0.25">
      <c r="A10505" s="57">
        <v>43221507</v>
      </c>
      <c r="B10505" s="58" t="s">
        <v>9690</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9741</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10980</v>
      </c>
    </row>
    <row r="10516" spans="1:2" x14ac:dyDescent="0.25">
      <c r="A10516" s="57">
        <v>43221520</v>
      </c>
      <c r="B10516" s="58" t="s">
        <v>13438</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11053</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10818</v>
      </c>
    </row>
    <row r="10526" spans="1:2" x14ac:dyDescent="0.25">
      <c r="A10526" s="57">
        <v>43221701</v>
      </c>
      <c r="B10526" s="58" t="s">
        <v>12612</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11069</v>
      </c>
    </row>
    <row r="10533" spans="1:2" x14ac:dyDescent="0.25">
      <c r="A10533" s="57">
        <v>43221708</v>
      </c>
      <c r="B10533" s="58" t="s">
        <v>12330</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17208</v>
      </c>
    </row>
    <row r="10547" spans="1:2" x14ac:dyDescent="0.25">
      <c r="A10547" s="57">
        <v>43221801</v>
      </c>
      <c r="B10547" s="58" t="s">
        <v>6688</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9550</v>
      </c>
    </row>
    <row r="10551" spans="1:2" x14ac:dyDescent="0.25">
      <c r="A10551" s="57">
        <v>43221805</v>
      </c>
      <c r="B10551" s="58" t="s">
        <v>11173</v>
      </c>
    </row>
    <row r="10552" spans="1:2" x14ac:dyDescent="0.25">
      <c r="A10552" s="57">
        <v>43221806</v>
      </c>
      <c r="B10552" s="58" t="s">
        <v>18411</v>
      </c>
    </row>
    <row r="10553" spans="1:2" x14ac:dyDescent="0.25">
      <c r="A10553" s="57">
        <v>43221807</v>
      </c>
      <c r="B10553" s="58" t="s">
        <v>12270</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10016</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11445</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9964</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11346</v>
      </c>
    </row>
    <row r="10579" spans="1:2" x14ac:dyDescent="0.25">
      <c r="A10579" s="57">
        <v>43222629</v>
      </c>
      <c r="B10579" s="58" t="s">
        <v>5685</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12641</v>
      </c>
    </row>
    <row r="10583" spans="1:2" x14ac:dyDescent="0.25">
      <c r="A10583" s="57">
        <v>43222701</v>
      </c>
      <c r="B10583" s="58" t="s">
        <v>12739</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12249</v>
      </c>
    </row>
    <row r="10588" spans="1:2" x14ac:dyDescent="0.25">
      <c r="A10588" s="57">
        <v>43222803</v>
      </c>
      <c r="B10588" s="58" t="s">
        <v>11311</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9934</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11183</v>
      </c>
    </row>
    <row r="10605" spans="1:2" x14ac:dyDescent="0.25">
      <c r="A10605" s="57">
        <v>43222901</v>
      </c>
      <c r="B10605" s="58" t="s">
        <v>13977</v>
      </c>
    </row>
    <row r="10606" spans="1:2" x14ac:dyDescent="0.25">
      <c r="A10606" s="57">
        <v>43222902</v>
      </c>
      <c r="B10606" s="58" t="s">
        <v>12542</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12979</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11271</v>
      </c>
    </row>
    <row r="10618" spans="1:2" x14ac:dyDescent="0.25">
      <c r="A10618" s="57">
        <v>43223111</v>
      </c>
      <c r="B10618" s="58" t="s">
        <v>10057</v>
      </c>
    </row>
    <row r="10619" spans="1:2" x14ac:dyDescent="0.25">
      <c r="A10619" s="57">
        <v>43223112</v>
      </c>
      <c r="B10619" s="58" t="s">
        <v>11612</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13231</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13116</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10482</v>
      </c>
    </row>
    <row r="10646" spans="1:2" x14ac:dyDescent="0.25">
      <c r="A10646" s="57">
        <v>43231603</v>
      </c>
      <c r="B10646" s="58" t="s">
        <v>4095</v>
      </c>
    </row>
    <row r="10647" spans="1:2" x14ac:dyDescent="0.25">
      <c r="A10647" s="57">
        <v>43231604</v>
      </c>
      <c r="B10647" s="58" t="s">
        <v>13168</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11694</v>
      </c>
    </row>
    <row r="10656" spans="1:2" x14ac:dyDescent="0.25">
      <c r="A10656" s="57">
        <v>43232103</v>
      </c>
      <c r="B10656" s="58" t="s">
        <v>12029</v>
      </c>
    </row>
    <row r="10657" spans="1:2" x14ac:dyDescent="0.25">
      <c r="A10657" s="57">
        <v>43232104</v>
      </c>
      <c r="B10657" s="58" t="s">
        <v>2093</v>
      </c>
    </row>
    <row r="10658" spans="1:2" x14ac:dyDescent="0.25">
      <c r="A10658" s="57">
        <v>43232105</v>
      </c>
      <c r="B10658" s="58" t="s">
        <v>11019</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11335</v>
      </c>
    </row>
    <row r="10672" spans="1:2" x14ac:dyDescent="0.25">
      <c r="A10672" s="57">
        <v>43232305</v>
      </c>
      <c r="B10672" s="58" t="s">
        <v>6905</v>
      </c>
    </row>
    <row r="10673" spans="1:2" x14ac:dyDescent="0.25">
      <c r="A10673" s="57">
        <v>43232306</v>
      </c>
      <c r="B10673" s="58" t="s">
        <v>12954</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12951</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10045</v>
      </c>
    </row>
    <row r="10684" spans="1:2" x14ac:dyDescent="0.25">
      <c r="A10684" s="57">
        <v>43232405</v>
      </c>
      <c r="B10684" s="58" t="s">
        <v>12902</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17577</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11959</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11699</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12379</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12320</v>
      </c>
    </row>
    <row r="10704" spans="1:2" x14ac:dyDescent="0.25">
      <c r="A10704" s="57">
        <v>43232612</v>
      </c>
      <c r="B10704" s="58" t="s">
        <v>2374</v>
      </c>
    </row>
    <row r="10705" spans="1:2" x14ac:dyDescent="0.25">
      <c r="A10705" s="57">
        <v>43232701</v>
      </c>
      <c r="B10705" s="58" t="s">
        <v>11316</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10582</v>
      </c>
    </row>
    <row r="10718" spans="1:2" x14ac:dyDescent="0.25">
      <c r="A10718" s="57">
        <v>43232905</v>
      </c>
      <c r="B10718" s="58" t="s">
        <v>10550</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10566</v>
      </c>
    </row>
    <row r="10740" spans="1:2" x14ac:dyDescent="0.25">
      <c r="A10740" s="57">
        <v>43233405</v>
      </c>
      <c r="B10740" s="58" t="s">
        <v>13153</v>
      </c>
    </row>
    <row r="10741" spans="1:2" x14ac:dyDescent="0.25">
      <c r="A10741" s="57">
        <v>43233406</v>
      </c>
      <c r="B10741" s="58" t="s">
        <v>14141</v>
      </c>
    </row>
    <row r="10742" spans="1:2" x14ac:dyDescent="0.25">
      <c r="A10742" s="57">
        <v>43233407</v>
      </c>
      <c r="B10742" s="58" t="s">
        <v>11156</v>
      </c>
    </row>
    <row r="10743" spans="1:2" x14ac:dyDescent="0.25">
      <c r="A10743" s="57">
        <v>43233410</v>
      </c>
      <c r="B10743" s="58" t="s">
        <v>5767</v>
      </c>
    </row>
    <row r="10744" spans="1:2" x14ac:dyDescent="0.25">
      <c r="A10744" s="57">
        <v>43233411</v>
      </c>
      <c r="B10744" s="58" t="s">
        <v>13194</v>
      </c>
    </row>
    <row r="10745" spans="1:2" x14ac:dyDescent="0.25">
      <c r="A10745" s="57">
        <v>43233413</v>
      </c>
      <c r="B10745" s="58" t="s">
        <v>17441</v>
      </c>
    </row>
    <row r="10746" spans="1:2" x14ac:dyDescent="0.25">
      <c r="A10746" s="57">
        <v>43233414</v>
      </c>
      <c r="B10746" s="58" t="s">
        <v>12790</v>
      </c>
    </row>
    <row r="10747" spans="1:2" x14ac:dyDescent="0.25">
      <c r="A10747" s="57">
        <v>43233415</v>
      </c>
      <c r="B10747" s="58" t="s">
        <v>7721</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11378</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10108</v>
      </c>
    </row>
    <row r="10757" spans="1:2" x14ac:dyDescent="0.25">
      <c r="A10757" s="57">
        <v>43233510</v>
      </c>
      <c r="B10757" s="58" t="s">
        <v>10147</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12208</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11873</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10132</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13976</v>
      </c>
    </row>
    <row r="10781" spans="1:2" x14ac:dyDescent="0.25">
      <c r="A10781" s="57">
        <v>44101711</v>
      </c>
      <c r="B10781" s="58" t="s">
        <v>12338</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11928</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9308</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11820</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11961</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12162</v>
      </c>
    </row>
    <row r="10818" spans="1:2" x14ac:dyDescent="0.25">
      <c r="A10818" s="57">
        <v>44102108</v>
      </c>
      <c r="B10818" s="58" t="s">
        <v>13221</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11095</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11306</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10847</v>
      </c>
    </row>
    <row r="10840" spans="1:2" x14ac:dyDescent="0.25">
      <c r="A10840" s="57">
        <v>44102502</v>
      </c>
      <c r="B10840" s="58" t="s">
        <v>12965</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12318</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13111</v>
      </c>
    </row>
    <row r="10860" spans="1:2" x14ac:dyDescent="0.25">
      <c r="A10860" s="57">
        <v>44102909</v>
      </c>
      <c r="B10860" s="58" t="s">
        <v>2194</v>
      </c>
    </row>
    <row r="10861" spans="1:2" x14ac:dyDescent="0.25">
      <c r="A10861" s="57">
        <v>44102910</v>
      </c>
      <c r="B10861" s="58" t="s">
        <v>10182</v>
      </c>
    </row>
    <row r="10862" spans="1:2" x14ac:dyDescent="0.25">
      <c r="A10862" s="57">
        <v>44102911</v>
      </c>
      <c r="B10862" s="58" t="s">
        <v>402</v>
      </c>
    </row>
    <row r="10863" spans="1:2" x14ac:dyDescent="0.25">
      <c r="A10863" s="57">
        <v>44102912</v>
      </c>
      <c r="B10863" s="58" t="s">
        <v>9654</v>
      </c>
    </row>
    <row r="10864" spans="1:2" x14ac:dyDescent="0.25">
      <c r="A10864" s="57">
        <v>44102913</v>
      </c>
      <c r="B10864" s="58" t="s">
        <v>11288</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11905</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9829</v>
      </c>
    </row>
    <row r="10876" spans="1:2" x14ac:dyDescent="0.25">
      <c r="A10876" s="57">
        <v>44103108</v>
      </c>
      <c r="B10876" s="58" t="s">
        <v>13944</v>
      </c>
    </row>
    <row r="10877" spans="1:2" x14ac:dyDescent="0.25">
      <c r="A10877" s="57">
        <v>44103109</v>
      </c>
      <c r="B10877" s="58" t="s">
        <v>12171</v>
      </c>
    </row>
    <row r="10878" spans="1:2" x14ac:dyDescent="0.25">
      <c r="A10878" s="57">
        <v>44103110</v>
      </c>
      <c r="B10878" s="58" t="s">
        <v>11026</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11278</v>
      </c>
    </row>
    <row r="10882" spans="1:2" x14ac:dyDescent="0.25">
      <c r="A10882" s="57">
        <v>44103114</v>
      </c>
      <c r="B10882" s="58" t="s">
        <v>12950</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10010</v>
      </c>
    </row>
    <row r="10907" spans="1:2" x14ac:dyDescent="0.25">
      <c r="A10907" s="57">
        <v>44111509</v>
      </c>
      <c r="B10907" s="58" t="s">
        <v>12327</v>
      </c>
    </row>
    <row r="10908" spans="1:2" x14ac:dyDescent="0.25">
      <c r="A10908" s="57">
        <v>44111510</v>
      </c>
      <c r="B10908" s="58" t="s">
        <v>12733</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11067</v>
      </c>
    </row>
    <row r="10912" spans="1:2" x14ac:dyDescent="0.25">
      <c r="A10912" s="57">
        <v>44111514</v>
      </c>
      <c r="B10912" s="58" t="s">
        <v>13831</v>
      </c>
    </row>
    <row r="10913" spans="1:2" x14ac:dyDescent="0.25">
      <c r="A10913" s="57">
        <v>44111515</v>
      </c>
      <c r="B10913" s="58" t="s">
        <v>13207</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12201</v>
      </c>
    </row>
    <row r="10921" spans="1:2" x14ac:dyDescent="0.25">
      <c r="A10921" s="57">
        <v>44111603</v>
      </c>
      <c r="B10921" s="58" t="s">
        <v>13104</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15939</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11276</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9628</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11140</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12124</v>
      </c>
    </row>
    <row r="10952" spans="1:2" x14ac:dyDescent="0.25">
      <c r="A10952" s="57">
        <v>44111904</v>
      </c>
      <c r="B10952" s="58" t="s">
        <v>12449</v>
      </c>
    </row>
    <row r="10953" spans="1:2" x14ac:dyDescent="0.25">
      <c r="A10953" s="57">
        <v>44111905</v>
      </c>
      <c r="B10953" s="58" t="s">
        <v>9723</v>
      </c>
    </row>
    <row r="10954" spans="1:2" x14ac:dyDescent="0.25">
      <c r="A10954" s="57">
        <v>44111906</v>
      </c>
      <c r="B10954" s="58" t="s">
        <v>15997</v>
      </c>
    </row>
    <row r="10955" spans="1:2" x14ac:dyDescent="0.25">
      <c r="A10955" s="57">
        <v>44111907</v>
      </c>
      <c r="B10955" s="58" t="s">
        <v>10940</v>
      </c>
    </row>
    <row r="10956" spans="1:2" x14ac:dyDescent="0.25">
      <c r="A10956" s="57">
        <v>44111908</v>
      </c>
      <c r="B10956" s="58" t="s">
        <v>4296</v>
      </c>
    </row>
    <row r="10957" spans="1:2" x14ac:dyDescent="0.25">
      <c r="A10957" s="57">
        <v>44111909</v>
      </c>
      <c r="B10957" s="58" t="s">
        <v>12633</v>
      </c>
    </row>
    <row r="10958" spans="1:2" x14ac:dyDescent="0.25">
      <c r="A10958" s="57">
        <v>44111910</v>
      </c>
      <c r="B10958" s="58" t="s">
        <v>16171</v>
      </c>
    </row>
    <row r="10959" spans="1:2" x14ac:dyDescent="0.25">
      <c r="A10959" s="57">
        <v>44111911</v>
      </c>
      <c r="B10959" s="58" t="s">
        <v>11458</v>
      </c>
    </row>
    <row r="10960" spans="1:2" x14ac:dyDescent="0.25">
      <c r="A10960" s="57">
        <v>44112001</v>
      </c>
      <c r="B10960" s="58" t="s">
        <v>12273</v>
      </c>
    </row>
    <row r="10961" spans="1:2" x14ac:dyDescent="0.25">
      <c r="A10961" s="57">
        <v>44112002</v>
      </c>
      <c r="B10961" s="58" t="s">
        <v>13443</v>
      </c>
    </row>
    <row r="10962" spans="1:2" x14ac:dyDescent="0.25">
      <c r="A10962" s="57">
        <v>44112004</v>
      </c>
      <c r="B10962" s="58" t="s">
        <v>9754</v>
      </c>
    </row>
    <row r="10963" spans="1:2" x14ac:dyDescent="0.25">
      <c r="A10963" s="57">
        <v>44112005</v>
      </c>
      <c r="B10963" s="58" t="s">
        <v>10946</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12523</v>
      </c>
    </row>
    <row r="10973" spans="1:2" x14ac:dyDescent="0.25">
      <c r="A10973" s="57">
        <v>44121508</v>
      </c>
      <c r="B10973" s="58" t="s">
        <v>12538</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12305</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12531</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10385</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13259</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11221</v>
      </c>
    </row>
    <row r="11008" spans="1:2" x14ac:dyDescent="0.25">
      <c r="A11008" s="57">
        <v>44121706</v>
      </c>
      <c r="B11008" s="58" t="s">
        <v>2541</v>
      </c>
    </row>
    <row r="11009" spans="1:2" x14ac:dyDescent="0.25">
      <c r="A11009" s="57">
        <v>44121707</v>
      </c>
      <c r="B11009" s="58" t="s">
        <v>9983</v>
      </c>
    </row>
    <row r="11010" spans="1:2" x14ac:dyDescent="0.25">
      <c r="A11010" s="57">
        <v>44121708</v>
      </c>
      <c r="B11010" s="58" t="s">
        <v>13768</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11230</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11245</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11857</v>
      </c>
    </row>
    <row r="11037" spans="1:2" x14ac:dyDescent="0.25">
      <c r="A11037" s="57">
        <v>44122010</v>
      </c>
      <c r="B11037" s="58" t="s">
        <v>7733</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10662</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12467</v>
      </c>
    </row>
    <row r="11047" spans="1:2" x14ac:dyDescent="0.25">
      <c r="A11047" s="57">
        <v>44122020</v>
      </c>
      <c r="B11047" s="58" t="s">
        <v>15760</v>
      </c>
    </row>
    <row r="11048" spans="1:2" x14ac:dyDescent="0.25">
      <c r="A11048" s="57">
        <v>44122021</v>
      </c>
      <c r="B11048" s="58" t="s">
        <v>12627</v>
      </c>
    </row>
    <row r="11049" spans="1:2" x14ac:dyDescent="0.25">
      <c r="A11049" s="57">
        <v>44122022</v>
      </c>
      <c r="B11049" s="58" t="s">
        <v>11396</v>
      </c>
    </row>
    <row r="11050" spans="1:2" x14ac:dyDescent="0.25">
      <c r="A11050" s="57">
        <v>44122023</v>
      </c>
      <c r="B11050" s="58" t="s">
        <v>11687</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12560</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14102</v>
      </c>
    </row>
    <row r="11057" spans="1:2" x14ac:dyDescent="0.25">
      <c r="A11057" s="57">
        <v>44122103</v>
      </c>
      <c r="B11057" s="58" t="s">
        <v>10821</v>
      </c>
    </row>
    <row r="11058" spans="1:2" x14ac:dyDescent="0.25">
      <c r="A11058" s="57">
        <v>44122104</v>
      </c>
      <c r="B11058" s="58" t="s">
        <v>12943</v>
      </c>
    </row>
    <row r="11059" spans="1:2" x14ac:dyDescent="0.25">
      <c r="A11059" s="57">
        <v>44122105</v>
      </c>
      <c r="B11059" s="58" t="s">
        <v>12995</v>
      </c>
    </row>
    <row r="11060" spans="1:2" x14ac:dyDescent="0.25">
      <c r="A11060" s="57">
        <v>44122106</v>
      </c>
      <c r="B11060" s="58" t="s">
        <v>4077</v>
      </c>
    </row>
    <row r="11061" spans="1:2" x14ac:dyDescent="0.25">
      <c r="A11061" s="57">
        <v>44122107</v>
      </c>
      <c r="B11061" s="58" t="s">
        <v>10093</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13457</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6304</v>
      </c>
    </row>
    <row r="11073" spans="1:2" x14ac:dyDescent="0.25">
      <c r="A11073" s="57">
        <v>44122120</v>
      </c>
      <c r="B11073" s="58" t="s">
        <v>12464</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11127</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10463</v>
      </c>
    </row>
    <row r="11082" spans="1:2" x14ac:dyDescent="0.25">
      <c r="A11082" s="57">
        <v>45101508</v>
      </c>
      <c r="B11082" s="58" t="s">
        <v>5406</v>
      </c>
    </row>
    <row r="11083" spans="1:2" x14ac:dyDescent="0.25">
      <c r="A11083" s="57">
        <v>45101509</v>
      </c>
      <c r="B11083" s="58" t="s">
        <v>12282</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13033</v>
      </c>
    </row>
    <row r="11089" spans="1:2" x14ac:dyDescent="0.25">
      <c r="A11089" s="57">
        <v>45101515</v>
      </c>
      <c r="B11089" s="58" t="s">
        <v>17810</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18635</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12646</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12158</v>
      </c>
    </row>
    <row r="11112" spans="1:2" x14ac:dyDescent="0.25">
      <c r="A11112" s="57">
        <v>45101806</v>
      </c>
      <c r="B11112" s="58" t="s">
        <v>12260</v>
      </c>
    </row>
    <row r="11113" spans="1:2" x14ac:dyDescent="0.25">
      <c r="A11113" s="57">
        <v>45101807</v>
      </c>
      <c r="B11113" s="58" t="s">
        <v>13315</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12587</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11423</v>
      </c>
    </row>
    <row r="11129" spans="1:2" x14ac:dyDescent="0.25">
      <c r="A11129" s="57">
        <v>45111601</v>
      </c>
      <c r="B11129" s="58" t="s">
        <v>10690</v>
      </c>
    </row>
    <row r="11130" spans="1:2" x14ac:dyDescent="0.25">
      <c r="A11130" s="57">
        <v>45111602</v>
      </c>
      <c r="B11130" s="58" t="s">
        <v>12514</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12193</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10637</v>
      </c>
    </row>
    <row r="11145" spans="1:2" x14ac:dyDescent="0.25">
      <c r="A11145" s="57">
        <v>45111618</v>
      </c>
      <c r="B11145" s="58" t="s">
        <v>9049</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11114</v>
      </c>
    </row>
    <row r="11151" spans="1:2" x14ac:dyDescent="0.25">
      <c r="A11151" s="57">
        <v>45111705</v>
      </c>
      <c r="B11151" s="58" t="s">
        <v>2922</v>
      </c>
    </row>
    <row r="11152" spans="1:2" x14ac:dyDescent="0.25">
      <c r="A11152" s="57">
        <v>45111801</v>
      </c>
      <c r="B11152" s="58" t="s">
        <v>10295</v>
      </c>
    </row>
    <row r="11153" spans="1:2" x14ac:dyDescent="0.25">
      <c r="A11153" s="57">
        <v>45111802</v>
      </c>
      <c r="B11153" s="58" t="s">
        <v>3460</v>
      </c>
    </row>
    <row r="11154" spans="1:2" x14ac:dyDescent="0.25">
      <c r="A11154" s="57">
        <v>45111803</v>
      </c>
      <c r="B11154" s="58" t="s">
        <v>12737</v>
      </c>
    </row>
    <row r="11155" spans="1:2" x14ac:dyDescent="0.25">
      <c r="A11155" s="57">
        <v>45111804</v>
      </c>
      <c r="B11155" s="58" t="s">
        <v>12001</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11744</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9755</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11497</v>
      </c>
    </row>
    <row r="11181" spans="1:2" x14ac:dyDescent="0.25">
      <c r="A11181" s="57">
        <v>45121517</v>
      </c>
      <c r="B11181" s="58" t="s">
        <v>5296</v>
      </c>
    </row>
    <row r="11182" spans="1:2" x14ac:dyDescent="0.25">
      <c r="A11182" s="57">
        <v>45121518</v>
      </c>
      <c r="B11182" s="58" t="s">
        <v>13579</v>
      </c>
    </row>
    <row r="11183" spans="1:2" x14ac:dyDescent="0.25">
      <c r="A11183" s="57">
        <v>45121519</v>
      </c>
      <c r="B11183" s="58" t="s">
        <v>14841</v>
      </c>
    </row>
    <row r="11184" spans="1:2" x14ac:dyDescent="0.25">
      <c r="A11184" s="57">
        <v>45121520</v>
      </c>
      <c r="B11184" s="58" t="s">
        <v>11578</v>
      </c>
    </row>
    <row r="11185" spans="1:2" x14ac:dyDescent="0.25">
      <c r="A11185" s="57">
        <v>45121601</v>
      </c>
      <c r="B11185" s="58" t="s">
        <v>3800</v>
      </c>
    </row>
    <row r="11186" spans="1:2" x14ac:dyDescent="0.25">
      <c r="A11186" s="57">
        <v>45121602</v>
      </c>
      <c r="B11186" s="58" t="s">
        <v>10138</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13183</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13254</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9740</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10817</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11932</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10329</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13387</v>
      </c>
    </row>
    <row r="11219" spans="1:2" x14ac:dyDescent="0.25">
      <c r="A11219" s="57">
        <v>45121806</v>
      </c>
      <c r="B11219" s="58" t="s">
        <v>11372</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10902</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11304</v>
      </c>
    </row>
    <row r="11233" spans="1:2" x14ac:dyDescent="0.25">
      <c r="A11233" s="57">
        <v>45141601</v>
      </c>
      <c r="B11233" s="58" t="s">
        <v>12197</v>
      </c>
    </row>
    <row r="11234" spans="1:2" x14ac:dyDescent="0.25">
      <c r="A11234" s="57">
        <v>45141602</v>
      </c>
      <c r="B11234" s="58" t="s">
        <v>11401</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6159</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11526</v>
      </c>
    </row>
    <row r="11260" spans="1:2" x14ac:dyDescent="0.25">
      <c r="A11260" s="57">
        <v>46121507</v>
      </c>
      <c r="B11260" s="58" t="s">
        <v>8265</v>
      </c>
    </row>
    <row r="11261" spans="1:2" x14ac:dyDescent="0.25">
      <c r="A11261" s="57">
        <v>46121508</v>
      </c>
      <c r="B11261" s="58" t="s">
        <v>11425</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13683</v>
      </c>
    </row>
    <row r="11270" spans="1:2" x14ac:dyDescent="0.25">
      <c r="A11270" s="57">
        <v>46121605</v>
      </c>
      <c r="B11270" s="58" t="s">
        <v>16174</v>
      </c>
    </row>
    <row r="11271" spans="1:2" x14ac:dyDescent="0.25">
      <c r="A11271" s="57">
        <v>46131501</v>
      </c>
      <c r="B11271" s="58" t="s">
        <v>13879</v>
      </c>
    </row>
    <row r="11272" spans="1:2" x14ac:dyDescent="0.25">
      <c r="A11272" s="57">
        <v>46131502</v>
      </c>
      <c r="B11272" s="58" t="s">
        <v>10981</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10948</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12632</v>
      </c>
    </row>
    <row r="11300" spans="1:2" x14ac:dyDescent="0.25">
      <c r="A11300" s="57">
        <v>46151707</v>
      </c>
      <c r="B11300" s="58" t="s">
        <v>14806</v>
      </c>
    </row>
    <row r="11301" spans="1:2" x14ac:dyDescent="0.25">
      <c r="A11301" s="57">
        <v>46151708</v>
      </c>
      <c r="B11301" s="58" t="s">
        <v>14043</v>
      </c>
    </row>
    <row r="11302" spans="1:2" x14ac:dyDescent="0.25">
      <c r="A11302" s="57">
        <v>46151709</v>
      </c>
      <c r="B11302" s="58" t="s">
        <v>14896</v>
      </c>
    </row>
    <row r="11303" spans="1:2" x14ac:dyDescent="0.25">
      <c r="A11303" s="57">
        <v>46151710</v>
      </c>
      <c r="B11303" s="58" t="s">
        <v>10419</v>
      </c>
    </row>
    <row r="11304" spans="1:2" x14ac:dyDescent="0.25">
      <c r="A11304" s="57">
        <v>46151711</v>
      </c>
      <c r="B11304" s="58" t="s">
        <v>13202</v>
      </c>
    </row>
    <row r="11305" spans="1:2" x14ac:dyDescent="0.25">
      <c r="A11305" s="57">
        <v>46151712</v>
      </c>
      <c r="B11305" s="58" t="s">
        <v>11921</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12317</v>
      </c>
    </row>
    <row r="11311" spans="1:2" x14ac:dyDescent="0.25">
      <c r="A11311" s="57">
        <v>46161503</v>
      </c>
      <c r="B11311" s="58" t="s">
        <v>5629</v>
      </c>
    </row>
    <row r="11312" spans="1:2" x14ac:dyDescent="0.25">
      <c r="A11312" s="57">
        <v>46161504</v>
      </c>
      <c r="B11312" s="58" t="s">
        <v>10489</v>
      </c>
    </row>
    <row r="11313" spans="1:2" x14ac:dyDescent="0.25">
      <c r="A11313" s="57">
        <v>46161505</v>
      </c>
      <c r="B11313" s="58" t="s">
        <v>13878</v>
      </c>
    </row>
    <row r="11314" spans="1:2" x14ac:dyDescent="0.25">
      <c r="A11314" s="57">
        <v>46161506</v>
      </c>
      <c r="B11314" s="58" t="s">
        <v>10191</v>
      </c>
    </row>
    <row r="11315" spans="1:2" x14ac:dyDescent="0.25">
      <c r="A11315" s="57">
        <v>46161507</v>
      </c>
      <c r="B11315" s="58" t="s">
        <v>15157</v>
      </c>
    </row>
    <row r="11316" spans="1:2" x14ac:dyDescent="0.25">
      <c r="A11316" s="57">
        <v>46161508</v>
      </c>
      <c r="B11316" s="58" t="s">
        <v>5992</v>
      </c>
    </row>
    <row r="11317" spans="1:2" x14ac:dyDescent="0.25">
      <c r="A11317" s="57">
        <v>46161509</v>
      </c>
      <c r="B11317" s="58" t="s">
        <v>11691</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10043</v>
      </c>
    </row>
    <row r="11322" spans="1:2" x14ac:dyDescent="0.25">
      <c r="A11322" s="57">
        <v>46161604</v>
      </c>
      <c r="B11322" s="58" t="s">
        <v>14574</v>
      </c>
    </row>
    <row r="11323" spans="1:2" x14ac:dyDescent="0.25">
      <c r="A11323" s="57">
        <v>46171501</v>
      </c>
      <c r="B11323" s="58" t="s">
        <v>14965</v>
      </c>
    </row>
    <row r="11324" spans="1:2" x14ac:dyDescent="0.25">
      <c r="A11324" s="57">
        <v>46171502</v>
      </c>
      <c r="B11324" s="58" t="s">
        <v>13355</v>
      </c>
    </row>
    <row r="11325" spans="1:2" x14ac:dyDescent="0.25">
      <c r="A11325" s="57">
        <v>46171503</v>
      </c>
      <c r="B11325" s="58" t="s">
        <v>7890</v>
      </c>
    </row>
    <row r="11326" spans="1:2" x14ac:dyDescent="0.25">
      <c r="A11326" s="57">
        <v>46171504</v>
      </c>
      <c r="B11326" s="58" t="s">
        <v>10454</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9677</v>
      </c>
    </row>
    <row r="11336" spans="1:2" x14ac:dyDescent="0.25">
      <c r="A11336" s="57">
        <v>46171514</v>
      </c>
      <c r="B11336" s="58" t="s">
        <v>15379</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11906</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9854</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6180</v>
      </c>
    </row>
    <row r="11347" spans="1:2" x14ac:dyDescent="0.25">
      <c r="A11347" s="57">
        <v>46171609</v>
      </c>
      <c r="B11347" s="58" t="s">
        <v>10122</v>
      </c>
    </row>
    <row r="11348" spans="1:2" x14ac:dyDescent="0.25">
      <c r="A11348" s="57">
        <v>46171610</v>
      </c>
      <c r="B11348" s="58" t="s">
        <v>17789</v>
      </c>
    </row>
    <row r="11349" spans="1:2" x14ac:dyDescent="0.25">
      <c r="A11349" s="57">
        <v>46171611</v>
      </c>
      <c r="B11349" s="58" t="s">
        <v>10215</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9928</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13097</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11117</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9715</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7848</v>
      </c>
    </row>
    <row r="11392" spans="1:2" x14ac:dyDescent="0.25">
      <c r="A11392" s="57">
        <v>46181701</v>
      </c>
      <c r="B11392" s="58" t="s">
        <v>12334</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10234</v>
      </c>
    </row>
    <row r="11401" spans="1:2" x14ac:dyDescent="0.25">
      <c r="A11401" s="57">
        <v>46181803</v>
      </c>
      <c r="B11401" s="58" t="s">
        <v>18386</v>
      </c>
    </row>
    <row r="11402" spans="1:2" x14ac:dyDescent="0.25">
      <c r="A11402" s="57">
        <v>46181804</v>
      </c>
      <c r="B11402" s="58" t="s">
        <v>11164</v>
      </c>
    </row>
    <row r="11403" spans="1:2" x14ac:dyDescent="0.25">
      <c r="A11403" s="57">
        <v>46181805</v>
      </c>
      <c r="B11403" s="58" t="s">
        <v>11077</v>
      </c>
    </row>
    <row r="11404" spans="1:2" x14ac:dyDescent="0.25">
      <c r="A11404" s="57">
        <v>46181806</v>
      </c>
      <c r="B11404" s="58" t="s">
        <v>13160</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10479</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12143</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11411</v>
      </c>
    </row>
    <row r="11417" spans="1:2" x14ac:dyDescent="0.25">
      <c r="A11417" s="57">
        <v>46182006</v>
      </c>
      <c r="B11417" s="58" t="s">
        <v>12718</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12392</v>
      </c>
    </row>
    <row r="11461" spans="1:2" x14ac:dyDescent="0.25">
      <c r="A11461" s="57">
        <v>47101502</v>
      </c>
      <c r="B11461" s="58" t="s">
        <v>4390</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10899</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12843</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10212</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17741</v>
      </c>
    </row>
    <row r="11485" spans="1:2" x14ac:dyDescent="0.25">
      <c r="A11485" s="57">
        <v>47101528</v>
      </c>
      <c r="B11485" s="58" t="s">
        <v>9724</v>
      </c>
    </row>
    <row r="11486" spans="1:2" x14ac:dyDescent="0.25">
      <c r="A11486" s="57">
        <v>47101529</v>
      </c>
      <c r="B11486" s="58" t="s">
        <v>12599</v>
      </c>
    </row>
    <row r="11487" spans="1:2" x14ac:dyDescent="0.25">
      <c r="A11487" s="57">
        <v>47101530</v>
      </c>
      <c r="B11487" s="58" t="s">
        <v>5978</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12475</v>
      </c>
    </row>
    <row r="11492" spans="1:2" x14ac:dyDescent="0.25">
      <c r="A11492" s="57">
        <v>47101535</v>
      </c>
      <c r="B11492" s="58" t="s">
        <v>8023</v>
      </c>
    </row>
    <row r="11493" spans="1:2" x14ac:dyDescent="0.25">
      <c r="A11493" s="57">
        <v>47101536</v>
      </c>
      <c r="B11493" s="58" t="s">
        <v>14095</v>
      </c>
    </row>
    <row r="11494" spans="1:2" x14ac:dyDescent="0.25">
      <c r="A11494" s="57">
        <v>47101537</v>
      </c>
      <c r="B11494" s="58" t="s">
        <v>12782</v>
      </c>
    </row>
    <row r="11495" spans="1:2" x14ac:dyDescent="0.25">
      <c r="A11495" s="57">
        <v>47101538</v>
      </c>
      <c r="B11495" s="58" t="s">
        <v>12035</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10776</v>
      </c>
    </row>
    <row r="11505" spans="1:2" x14ac:dyDescent="0.25">
      <c r="A11505" s="57">
        <v>47101609</v>
      </c>
      <c r="B11505" s="58" t="s">
        <v>1171</v>
      </c>
    </row>
    <row r="11506" spans="1:2" x14ac:dyDescent="0.25">
      <c r="A11506" s="57">
        <v>47101610</v>
      </c>
      <c r="B11506" s="58" t="s">
        <v>10276</v>
      </c>
    </row>
    <row r="11507" spans="1:2" x14ac:dyDescent="0.25">
      <c r="A11507" s="57">
        <v>47101611</v>
      </c>
      <c r="B11507" s="58" t="s">
        <v>17774</v>
      </c>
    </row>
    <row r="11508" spans="1:2" x14ac:dyDescent="0.25">
      <c r="A11508" s="57">
        <v>47101612</v>
      </c>
      <c r="B11508" s="58" t="s">
        <v>9107</v>
      </c>
    </row>
    <row r="11509" spans="1:2" x14ac:dyDescent="0.25">
      <c r="A11509" s="57">
        <v>47101613</v>
      </c>
      <c r="B11509" s="58" t="s">
        <v>12036</v>
      </c>
    </row>
    <row r="11510" spans="1:2" x14ac:dyDescent="0.25">
      <c r="A11510" s="57">
        <v>47111501</v>
      </c>
      <c r="B11510" s="58" t="s">
        <v>935</v>
      </c>
    </row>
    <row r="11511" spans="1:2" x14ac:dyDescent="0.25">
      <c r="A11511" s="57">
        <v>47111502</v>
      </c>
      <c r="B11511" s="58" t="s">
        <v>10358</v>
      </c>
    </row>
    <row r="11512" spans="1:2" x14ac:dyDescent="0.25">
      <c r="A11512" s="57">
        <v>47111503</v>
      </c>
      <c r="B11512" s="58" t="s">
        <v>5717</v>
      </c>
    </row>
    <row r="11513" spans="1:2" x14ac:dyDescent="0.25">
      <c r="A11513" s="57">
        <v>47111505</v>
      </c>
      <c r="B11513" s="58" t="s">
        <v>9739</v>
      </c>
    </row>
    <row r="11514" spans="1:2" x14ac:dyDescent="0.25">
      <c r="A11514" s="57">
        <v>47111601</v>
      </c>
      <c r="B11514" s="58" t="s">
        <v>12027</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12057</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14182</v>
      </c>
    </row>
    <row r="11524" spans="1:2" x14ac:dyDescent="0.25">
      <c r="A11524" s="57">
        <v>47121606</v>
      </c>
      <c r="B11524" s="58" t="s">
        <v>15769</v>
      </c>
    </row>
    <row r="11525" spans="1:2" x14ac:dyDescent="0.25">
      <c r="A11525" s="57">
        <v>47121607</v>
      </c>
      <c r="B11525" s="58" t="s">
        <v>10439</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11856</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9744</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8062</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7531</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13707</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11601</v>
      </c>
    </row>
    <row r="11559" spans="1:2" x14ac:dyDescent="0.25">
      <c r="A11559" s="57">
        <v>47131601</v>
      </c>
      <c r="B11559" s="58" t="s">
        <v>5081</v>
      </c>
    </row>
    <row r="11560" spans="1:2" x14ac:dyDescent="0.25">
      <c r="A11560" s="57">
        <v>47131602</v>
      </c>
      <c r="B11560" s="58" t="s">
        <v>12135</v>
      </c>
    </row>
    <row r="11561" spans="1:2" x14ac:dyDescent="0.25">
      <c r="A11561" s="57">
        <v>47131603</v>
      </c>
      <c r="B11561" s="58" t="s">
        <v>5611</v>
      </c>
    </row>
    <row r="11562" spans="1:2" x14ac:dyDescent="0.25">
      <c r="A11562" s="57">
        <v>47131604</v>
      </c>
      <c r="B11562" s="58" t="s">
        <v>17592</v>
      </c>
    </row>
    <row r="11563" spans="1:2" x14ac:dyDescent="0.25">
      <c r="A11563" s="57">
        <v>47131605</v>
      </c>
      <c r="B11563" s="58" t="s">
        <v>12946</v>
      </c>
    </row>
    <row r="11564" spans="1:2" x14ac:dyDescent="0.25">
      <c r="A11564" s="57">
        <v>47131608</v>
      </c>
      <c r="B11564" s="58" t="s">
        <v>10833</v>
      </c>
    </row>
    <row r="11565" spans="1:2" x14ac:dyDescent="0.25">
      <c r="A11565" s="57">
        <v>47131609</v>
      </c>
      <c r="B11565" s="58" t="s">
        <v>17549</v>
      </c>
    </row>
    <row r="11566" spans="1:2" x14ac:dyDescent="0.25">
      <c r="A11566" s="57">
        <v>47131610</v>
      </c>
      <c r="B11566" s="58" t="s">
        <v>8577</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13198</v>
      </c>
    </row>
    <row r="11570" spans="1:2" x14ac:dyDescent="0.25">
      <c r="A11570" s="57">
        <v>47131614</v>
      </c>
      <c r="B11570" s="58" t="s">
        <v>17374</v>
      </c>
    </row>
    <row r="11571" spans="1:2" x14ac:dyDescent="0.25">
      <c r="A11571" s="57">
        <v>47131615</v>
      </c>
      <c r="B11571" s="58" t="s">
        <v>8607</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12085</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11849</v>
      </c>
    </row>
    <row r="11588" spans="1:2" x14ac:dyDescent="0.25">
      <c r="A11588" s="57">
        <v>47131802</v>
      </c>
      <c r="B11588" s="58" t="s">
        <v>17391</v>
      </c>
    </row>
    <row r="11589" spans="1:2" x14ac:dyDescent="0.25">
      <c r="A11589" s="57">
        <v>47131803</v>
      </c>
      <c r="B11589" s="58" t="s">
        <v>12947</v>
      </c>
    </row>
    <row r="11590" spans="1:2" x14ac:dyDescent="0.25">
      <c r="A11590" s="57">
        <v>47131804</v>
      </c>
      <c r="B11590" s="58" t="s">
        <v>11503</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15664</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11196</v>
      </c>
    </row>
    <row r="11624" spans="1:2" x14ac:dyDescent="0.25">
      <c r="A11624" s="57">
        <v>47131904</v>
      </c>
      <c r="B11624" s="58" t="s">
        <v>10323</v>
      </c>
    </row>
    <row r="11625" spans="1:2" x14ac:dyDescent="0.25">
      <c r="A11625" s="57">
        <v>47131905</v>
      </c>
      <c r="B11625" s="58" t="s">
        <v>10674</v>
      </c>
    </row>
    <row r="11626" spans="1:2" x14ac:dyDescent="0.25">
      <c r="A11626" s="57">
        <v>47131906</v>
      </c>
      <c r="B11626" s="58" t="s">
        <v>10087</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9978</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8779</v>
      </c>
    </row>
    <row r="11639" spans="1:2" x14ac:dyDescent="0.25">
      <c r="A11639" s="57">
        <v>48101508</v>
      </c>
      <c r="B11639" s="58" t="s">
        <v>11435</v>
      </c>
    </row>
    <row r="11640" spans="1:2" x14ac:dyDescent="0.25">
      <c r="A11640" s="57">
        <v>48101509</v>
      </c>
      <c r="B11640" s="58" t="s">
        <v>15474</v>
      </c>
    </row>
    <row r="11641" spans="1:2" x14ac:dyDescent="0.25">
      <c r="A11641" s="57">
        <v>48101510</v>
      </c>
      <c r="B11641" s="58" t="s">
        <v>14683</v>
      </c>
    </row>
    <row r="11642" spans="1:2" x14ac:dyDescent="0.25">
      <c r="A11642" s="57">
        <v>48101511</v>
      </c>
      <c r="B11642" s="58" t="s">
        <v>11370</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10261</v>
      </c>
    </row>
    <row r="11648" spans="1:2" x14ac:dyDescent="0.25">
      <c r="A11648" s="57">
        <v>48101517</v>
      </c>
      <c r="B11648" s="58" t="s">
        <v>10239</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11182</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11272</v>
      </c>
    </row>
    <row r="11665" spans="1:2" x14ac:dyDescent="0.25">
      <c r="A11665" s="57">
        <v>48101602</v>
      </c>
      <c r="B11665" s="58" t="s">
        <v>559</v>
      </c>
    </row>
    <row r="11666" spans="1:2" x14ac:dyDescent="0.25">
      <c r="A11666" s="57">
        <v>48101603</v>
      </c>
      <c r="B11666" s="58" t="s">
        <v>461</v>
      </c>
    </row>
    <row r="11667" spans="1:2" x14ac:dyDescent="0.25">
      <c r="A11667" s="57">
        <v>48101604</v>
      </c>
      <c r="B11667" s="58" t="s">
        <v>9728</v>
      </c>
    </row>
    <row r="11668" spans="1:2" x14ac:dyDescent="0.25">
      <c r="A11668" s="57">
        <v>48101605</v>
      </c>
      <c r="B11668" s="58" t="s">
        <v>9830</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13208</v>
      </c>
    </row>
    <row r="11685" spans="1:2" x14ac:dyDescent="0.25">
      <c r="A11685" s="57">
        <v>48101705</v>
      </c>
      <c r="B11685" s="58" t="s">
        <v>11351</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11103</v>
      </c>
    </row>
    <row r="11696" spans="1:2" x14ac:dyDescent="0.25">
      <c r="A11696" s="57">
        <v>48101801</v>
      </c>
      <c r="B11696" s="58" t="s">
        <v>2709</v>
      </c>
    </row>
    <row r="11697" spans="1:2" x14ac:dyDescent="0.25">
      <c r="A11697" s="57">
        <v>48101802</v>
      </c>
      <c r="B11697" s="58" t="s">
        <v>11759</v>
      </c>
    </row>
    <row r="11698" spans="1:2" x14ac:dyDescent="0.25">
      <c r="A11698" s="57">
        <v>48101803</v>
      </c>
      <c r="B11698" s="58" t="s">
        <v>2350</v>
      </c>
    </row>
    <row r="11699" spans="1:2" x14ac:dyDescent="0.25">
      <c r="A11699" s="57">
        <v>48101804</v>
      </c>
      <c r="B11699" s="58" t="s">
        <v>9730</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10380</v>
      </c>
    </row>
    <row r="11704" spans="1:2" x14ac:dyDescent="0.25">
      <c r="A11704" s="57">
        <v>48101809</v>
      </c>
      <c r="B11704" s="58" t="s">
        <v>12069</v>
      </c>
    </row>
    <row r="11705" spans="1:2" x14ac:dyDescent="0.25">
      <c r="A11705" s="57">
        <v>48101810</v>
      </c>
      <c r="B11705" s="58" t="s">
        <v>4510</v>
      </c>
    </row>
    <row r="11706" spans="1:2" x14ac:dyDescent="0.25">
      <c r="A11706" s="57">
        <v>48101811</v>
      </c>
      <c r="B11706" s="58" t="s">
        <v>13750</v>
      </c>
    </row>
    <row r="11707" spans="1:2" x14ac:dyDescent="0.25">
      <c r="A11707" s="57">
        <v>48101812</v>
      </c>
      <c r="B11707" s="58" t="s">
        <v>11745</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11442</v>
      </c>
    </row>
    <row r="11711" spans="1:2" x14ac:dyDescent="0.25">
      <c r="A11711" s="57">
        <v>48101816</v>
      </c>
      <c r="B11711" s="58" t="s">
        <v>11227</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10048</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10091</v>
      </c>
    </row>
    <row r="11722" spans="1:2" x14ac:dyDescent="0.25">
      <c r="A11722" s="57">
        <v>48101910</v>
      </c>
      <c r="B11722" s="58" t="s">
        <v>5085</v>
      </c>
    </row>
    <row r="11723" spans="1:2" x14ac:dyDescent="0.25">
      <c r="A11723" s="57">
        <v>48101911</v>
      </c>
      <c r="B11723" s="58" t="s">
        <v>5847</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10430</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13218</v>
      </c>
    </row>
    <row r="11741" spans="1:2" x14ac:dyDescent="0.25">
      <c r="A11741" s="57">
        <v>48102102</v>
      </c>
      <c r="B11741" s="58" t="s">
        <v>12859</v>
      </c>
    </row>
    <row r="11742" spans="1:2" x14ac:dyDescent="0.25">
      <c r="A11742" s="57">
        <v>48102103</v>
      </c>
      <c r="B11742" s="58" t="s">
        <v>14747</v>
      </c>
    </row>
    <row r="11743" spans="1:2" x14ac:dyDescent="0.25">
      <c r="A11743" s="57">
        <v>48102104</v>
      </c>
      <c r="B11743" s="58" t="s">
        <v>10835</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10701</v>
      </c>
    </row>
    <row r="11752" spans="1:2" x14ac:dyDescent="0.25">
      <c r="A11752" s="57">
        <v>48111104</v>
      </c>
      <c r="B11752" s="58" t="s">
        <v>8073</v>
      </c>
    </row>
    <row r="11753" spans="1:2" x14ac:dyDescent="0.25">
      <c r="A11753" s="57">
        <v>48111105</v>
      </c>
      <c r="B11753" s="58" t="s">
        <v>10157</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11579</v>
      </c>
    </row>
    <row r="11761" spans="1:2" x14ac:dyDescent="0.25">
      <c r="A11761" s="57">
        <v>48111303</v>
      </c>
      <c r="B11761" s="58" t="s">
        <v>10813</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11651</v>
      </c>
    </row>
    <row r="11779" spans="1:2" x14ac:dyDescent="0.25">
      <c r="A11779" s="57">
        <v>49101608</v>
      </c>
      <c r="B11779" s="58" t="s">
        <v>7057</v>
      </c>
    </row>
    <row r="11780" spans="1:2" x14ac:dyDescent="0.25">
      <c r="A11780" s="57">
        <v>49101609</v>
      </c>
      <c r="B11780" s="58" t="s">
        <v>13192</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12756</v>
      </c>
    </row>
    <row r="11784" spans="1:2" x14ac:dyDescent="0.25">
      <c r="A11784" s="57">
        <v>49101701</v>
      </c>
      <c r="B11784" s="58" t="s">
        <v>3666</v>
      </c>
    </row>
    <row r="11785" spans="1:2" x14ac:dyDescent="0.25">
      <c r="A11785" s="57">
        <v>49101702</v>
      </c>
      <c r="B11785" s="58" t="s">
        <v>11968</v>
      </c>
    </row>
    <row r="11786" spans="1:2" x14ac:dyDescent="0.25">
      <c r="A11786" s="57">
        <v>49101704</v>
      </c>
      <c r="B11786" s="58" t="s">
        <v>12101</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11585</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12935</v>
      </c>
    </row>
    <row r="11798" spans="1:2" x14ac:dyDescent="0.25">
      <c r="A11798" s="57">
        <v>49121509</v>
      </c>
      <c r="B11798" s="58" t="s">
        <v>10758</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9779</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10542</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11465</v>
      </c>
    </row>
    <row r="11815" spans="1:2" x14ac:dyDescent="0.25">
      <c r="A11815" s="57">
        <v>49131607</v>
      </c>
      <c r="B11815" s="58" t="s">
        <v>1287</v>
      </c>
    </row>
    <row r="11816" spans="1:2" x14ac:dyDescent="0.25">
      <c r="A11816" s="57">
        <v>49141501</v>
      </c>
      <c r="B11816" s="58" t="s">
        <v>9639</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12525</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13015</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10059</v>
      </c>
    </row>
    <row r="11835" spans="1:2" x14ac:dyDescent="0.25">
      <c r="A11835" s="57">
        <v>49151602</v>
      </c>
      <c r="B11835" s="58" t="s">
        <v>17085</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8060</v>
      </c>
    </row>
    <row r="11839" spans="1:2" x14ac:dyDescent="0.25">
      <c r="A11839" s="57">
        <v>49161503</v>
      </c>
      <c r="B11839" s="58" t="s">
        <v>11561</v>
      </c>
    </row>
    <row r="11840" spans="1:2" x14ac:dyDescent="0.25">
      <c r="A11840" s="57">
        <v>49161504</v>
      </c>
      <c r="B11840" s="58" t="s">
        <v>8367</v>
      </c>
    </row>
    <row r="11841" spans="1:2" x14ac:dyDescent="0.25">
      <c r="A11841" s="57">
        <v>49161505</v>
      </c>
      <c r="B11841" s="58" t="s">
        <v>17772</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12624</v>
      </c>
    </row>
    <row r="11854" spans="1:2" x14ac:dyDescent="0.25">
      <c r="A11854" s="57">
        <v>49161518</v>
      </c>
      <c r="B11854" s="58" t="s">
        <v>18738</v>
      </c>
    </row>
    <row r="11855" spans="1:2" x14ac:dyDescent="0.25">
      <c r="A11855" s="57">
        <v>49161519</v>
      </c>
      <c r="B11855" s="58" t="s">
        <v>11281</v>
      </c>
    </row>
    <row r="11856" spans="1:2" x14ac:dyDescent="0.25">
      <c r="A11856" s="57">
        <v>49161520</v>
      </c>
      <c r="B11856" s="58" t="s">
        <v>7651</v>
      </c>
    </row>
    <row r="11857" spans="1:2" x14ac:dyDescent="0.25">
      <c r="A11857" s="57">
        <v>49161521</v>
      </c>
      <c r="B11857" s="58" t="s">
        <v>11697</v>
      </c>
    </row>
    <row r="11858" spans="1:2" x14ac:dyDescent="0.25">
      <c r="A11858" s="57">
        <v>49161522</v>
      </c>
      <c r="B11858" s="58" t="s">
        <v>7463</v>
      </c>
    </row>
    <row r="11859" spans="1:2" x14ac:dyDescent="0.25">
      <c r="A11859" s="57">
        <v>49161523</v>
      </c>
      <c r="B11859" s="58" t="s">
        <v>11842</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12687</v>
      </c>
    </row>
    <row r="11873" spans="1:2" x14ac:dyDescent="0.25">
      <c r="A11873" s="57">
        <v>49161611</v>
      </c>
      <c r="B11873" s="58" t="s">
        <v>9438</v>
      </c>
    </row>
    <row r="11874" spans="1:2" x14ac:dyDescent="0.25">
      <c r="A11874" s="57">
        <v>49161612</v>
      </c>
      <c r="B11874" s="58" t="s">
        <v>10298</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10499</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10485</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12671</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10103</v>
      </c>
    </row>
    <row r="11899" spans="1:2" x14ac:dyDescent="0.25">
      <c r="A11899" s="57">
        <v>49181502</v>
      </c>
      <c r="B11899" s="58" t="s">
        <v>12934</v>
      </c>
    </row>
    <row r="11900" spans="1:2" x14ac:dyDescent="0.25">
      <c r="A11900" s="57">
        <v>49181503</v>
      </c>
      <c r="B11900" s="58" t="s">
        <v>12059</v>
      </c>
    </row>
    <row r="11901" spans="1:2" x14ac:dyDescent="0.25">
      <c r="A11901" s="57">
        <v>49181504</v>
      </c>
      <c r="B11901" s="58" t="s">
        <v>18661</v>
      </c>
    </row>
    <row r="11902" spans="1:2" x14ac:dyDescent="0.25">
      <c r="A11902" s="57">
        <v>49181505</v>
      </c>
      <c r="B11902" s="58" t="s">
        <v>11517</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13234</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12152</v>
      </c>
    </row>
    <row r="11912" spans="1:2" x14ac:dyDescent="0.25">
      <c r="A11912" s="57">
        <v>49181515</v>
      </c>
      <c r="B11912" s="58" t="s">
        <v>14065</v>
      </c>
    </row>
    <row r="11913" spans="1:2" x14ac:dyDescent="0.25">
      <c r="A11913" s="57">
        <v>49181601</v>
      </c>
      <c r="B11913" s="58" t="s">
        <v>9330</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13255</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10607</v>
      </c>
    </row>
    <row r="11933" spans="1:2" x14ac:dyDescent="0.25">
      <c r="A11933" s="57">
        <v>49201516</v>
      </c>
      <c r="B11933" s="58" t="s">
        <v>10210</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8108</v>
      </c>
    </row>
    <row r="11948" spans="1:2" x14ac:dyDescent="0.25">
      <c r="A11948" s="57">
        <v>49211604</v>
      </c>
      <c r="B11948" s="58" t="s">
        <v>13408</v>
      </c>
    </row>
    <row r="11949" spans="1:2" x14ac:dyDescent="0.25">
      <c r="A11949" s="57">
        <v>49211605</v>
      </c>
      <c r="B11949" s="58" t="s">
        <v>4494</v>
      </c>
    </row>
    <row r="11950" spans="1:2" x14ac:dyDescent="0.25">
      <c r="A11950" s="57">
        <v>49211606</v>
      </c>
      <c r="B11950" s="58" t="s">
        <v>11364</v>
      </c>
    </row>
    <row r="11951" spans="1:2" x14ac:dyDescent="0.25">
      <c r="A11951" s="57">
        <v>49211607</v>
      </c>
      <c r="B11951" s="58" t="s">
        <v>86</v>
      </c>
    </row>
    <row r="11952" spans="1:2" x14ac:dyDescent="0.25">
      <c r="A11952" s="57">
        <v>49211608</v>
      </c>
      <c r="B11952" s="58" t="s">
        <v>5555</v>
      </c>
    </row>
    <row r="11953" spans="1:2" x14ac:dyDescent="0.25">
      <c r="A11953" s="57">
        <v>49211609</v>
      </c>
      <c r="B11953" s="58" t="s">
        <v>6132</v>
      </c>
    </row>
    <row r="11954" spans="1:2" x14ac:dyDescent="0.25">
      <c r="A11954" s="57">
        <v>49211701</v>
      </c>
      <c r="B11954" s="58" t="s">
        <v>10462</v>
      </c>
    </row>
    <row r="11955" spans="1:2" x14ac:dyDescent="0.25">
      <c r="A11955" s="57">
        <v>49211702</v>
      </c>
      <c r="B11955" s="58" t="s">
        <v>2982</v>
      </c>
    </row>
    <row r="11956" spans="1:2" x14ac:dyDescent="0.25">
      <c r="A11956" s="57">
        <v>49211703</v>
      </c>
      <c r="B11956" s="58" t="s">
        <v>11993</v>
      </c>
    </row>
    <row r="11957" spans="1:2" x14ac:dyDescent="0.25">
      <c r="A11957" s="57">
        <v>49211801</v>
      </c>
      <c r="B11957" s="58" t="s">
        <v>11389</v>
      </c>
    </row>
    <row r="11958" spans="1:2" x14ac:dyDescent="0.25">
      <c r="A11958" s="57">
        <v>49211802</v>
      </c>
      <c r="B11958" s="58" t="s">
        <v>4633</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10324</v>
      </c>
    </row>
    <row r="11964" spans="1:2" x14ac:dyDescent="0.25">
      <c r="A11964" s="57">
        <v>49221501</v>
      </c>
      <c r="B11964" s="58" t="s">
        <v>9358</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12294</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10844</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12619</v>
      </c>
    </row>
    <row r="11984" spans="1:2" x14ac:dyDescent="0.25">
      <c r="A11984" s="57">
        <v>49241510</v>
      </c>
      <c r="B11984" s="58" t="s">
        <v>9701</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10397</v>
      </c>
    </row>
    <row r="11995" spans="1:2" x14ac:dyDescent="0.25">
      <c r="A11995" s="57">
        <v>49241707</v>
      </c>
      <c r="B11995" s="58" t="s">
        <v>17205</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10345</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10668</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17446</v>
      </c>
    </row>
    <row r="12011" spans="1:2" x14ac:dyDescent="0.25">
      <c r="A12011" s="57">
        <v>50111510</v>
      </c>
      <c r="B12011" s="58" t="s">
        <v>11388</v>
      </c>
    </row>
    <row r="12012" spans="1:2" x14ac:dyDescent="0.25">
      <c r="A12012" s="57">
        <v>50111511</v>
      </c>
      <c r="B12012" s="58" t="s">
        <v>4945</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9760</v>
      </c>
    </row>
    <row r="12023" spans="1:2" x14ac:dyDescent="0.25">
      <c r="A12023" s="57">
        <v>50121705</v>
      </c>
      <c r="B12023" s="58" t="s">
        <v>7111</v>
      </c>
    </row>
    <row r="12024" spans="1:2" x14ac:dyDescent="0.25">
      <c r="A12024" s="57">
        <v>50121706</v>
      </c>
      <c r="B12024" s="58" t="s">
        <v>10746</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9871</v>
      </c>
    </row>
    <row r="12028" spans="1:2" x14ac:dyDescent="0.25">
      <c r="A12028" s="57">
        <v>50121804</v>
      </c>
      <c r="B12028" s="58" t="s">
        <v>11176</v>
      </c>
    </row>
    <row r="12029" spans="1:2" x14ac:dyDescent="0.25">
      <c r="A12029" s="57">
        <v>50131606</v>
      </c>
      <c r="B12029" s="58" t="s">
        <v>11434</v>
      </c>
    </row>
    <row r="12030" spans="1:2" x14ac:dyDescent="0.25">
      <c r="A12030" s="57">
        <v>50131607</v>
      </c>
      <c r="B12030" s="58" t="s">
        <v>14113</v>
      </c>
    </row>
    <row r="12031" spans="1:2" x14ac:dyDescent="0.25">
      <c r="A12031" s="57">
        <v>50131608</v>
      </c>
      <c r="B12031" s="58" t="s">
        <v>14959</v>
      </c>
    </row>
    <row r="12032" spans="1:2" x14ac:dyDescent="0.25">
      <c r="A12032" s="57">
        <v>50131609</v>
      </c>
      <c r="B12032" s="58" t="s">
        <v>12119</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9861</v>
      </c>
    </row>
    <row r="12037" spans="1:2" x14ac:dyDescent="0.25">
      <c r="A12037" s="57">
        <v>50131703</v>
      </c>
      <c r="B12037" s="58" t="s">
        <v>12666</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11368</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12398</v>
      </c>
    </row>
    <row r="12047" spans="1:2" x14ac:dyDescent="0.25">
      <c r="A12047" s="57">
        <v>50161511</v>
      </c>
      <c r="B12047" s="58" t="s">
        <v>11552</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10699</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11696</v>
      </c>
    </row>
    <row r="12070" spans="1:2" x14ac:dyDescent="0.25">
      <c r="A12070" s="57">
        <v>50181902</v>
      </c>
      <c r="B12070" s="58" t="s">
        <v>11541</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10618</v>
      </c>
    </row>
    <row r="12079" spans="1:2" x14ac:dyDescent="0.25">
      <c r="A12079" s="57">
        <v>50182002</v>
      </c>
      <c r="B12079" s="58" t="s">
        <v>7368</v>
      </c>
    </row>
    <row r="12080" spans="1:2" x14ac:dyDescent="0.25">
      <c r="A12080" s="57">
        <v>50182003</v>
      </c>
      <c r="B12080" s="58" t="s">
        <v>9802</v>
      </c>
    </row>
    <row r="12081" spans="1:2" x14ac:dyDescent="0.25">
      <c r="A12081" s="57">
        <v>50182004</v>
      </c>
      <c r="B12081" s="58" t="s">
        <v>17580</v>
      </c>
    </row>
    <row r="12082" spans="1:2" x14ac:dyDescent="0.25">
      <c r="A12082" s="57">
        <v>50191505</v>
      </c>
      <c r="B12082" s="58" t="s">
        <v>11862</v>
      </c>
    </row>
    <row r="12083" spans="1:2" x14ac:dyDescent="0.25">
      <c r="A12083" s="57">
        <v>50191506</v>
      </c>
      <c r="B12083" s="58" t="s">
        <v>11805</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10171</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9721</v>
      </c>
    </row>
    <row r="12097" spans="1:2" x14ac:dyDescent="0.25">
      <c r="A12097" s="57">
        <v>50192501</v>
      </c>
      <c r="B12097" s="58" t="s">
        <v>11059</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13023</v>
      </c>
    </row>
    <row r="12101" spans="1:2" x14ac:dyDescent="0.25">
      <c r="A12101" s="57">
        <v>50192601</v>
      </c>
      <c r="B12101" s="58" t="s">
        <v>17331</v>
      </c>
    </row>
    <row r="12102" spans="1:2" x14ac:dyDescent="0.25">
      <c r="A12102" s="57">
        <v>50192602</v>
      </c>
      <c r="B12102" s="58" t="s">
        <v>10865</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10418</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10465</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11778</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11291</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10434</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10391</v>
      </c>
    </row>
    <row r="12125" spans="1:2" x14ac:dyDescent="0.25">
      <c r="A12125" s="57">
        <v>50201709</v>
      </c>
      <c r="B12125" s="58" t="s">
        <v>6913</v>
      </c>
    </row>
    <row r="12126" spans="1:2" x14ac:dyDescent="0.25">
      <c r="A12126" s="57">
        <v>50201710</v>
      </c>
      <c r="B12126" s="58" t="s">
        <v>12489</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11531</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17843</v>
      </c>
    </row>
    <row r="12146" spans="1:2" x14ac:dyDescent="0.25">
      <c r="A12146" s="57">
        <v>50202309</v>
      </c>
      <c r="B12146" s="58" t="s">
        <v>11832</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13418</v>
      </c>
    </row>
    <row r="12162" spans="1:2" x14ac:dyDescent="0.25">
      <c r="A12162" s="57">
        <v>50221101</v>
      </c>
      <c r="B12162" s="58" t="s">
        <v>6764</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10078</v>
      </c>
    </row>
    <row r="12170" spans="1:2" x14ac:dyDescent="0.25">
      <c r="A12170" s="57">
        <v>51101509</v>
      </c>
      <c r="B12170" s="58" t="s">
        <v>9767</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17318</v>
      </c>
    </row>
    <row r="12177" spans="1:2" x14ac:dyDescent="0.25">
      <c r="A12177" s="57">
        <v>51101516</v>
      </c>
      <c r="B12177" s="58" t="s">
        <v>12601</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10312</v>
      </c>
    </row>
    <row r="12184" spans="1:2" x14ac:dyDescent="0.25">
      <c r="A12184" s="57">
        <v>51101525</v>
      </c>
      <c r="B12184" s="58" t="s">
        <v>12407</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12526</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12385</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10294</v>
      </c>
    </row>
    <row r="12197" spans="1:2" x14ac:dyDescent="0.25">
      <c r="A12197" s="57">
        <v>51101539</v>
      </c>
      <c r="B12197" s="58" t="s">
        <v>17816</v>
      </c>
    </row>
    <row r="12198" spans="1:2" x14ac:dyDescent="0.25">
      <c r="A12198" s="57">
        <v>51101540</v>
      </c>
      <c r="B12198" s="58" t="s">
        <v>9832</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13310</v>
      </c>
    </row>
    <row r="12203" spans="1:2" x14ac:dyDescent="0.25">
      <c r="A12203" s="57">
        <v>51101545</v>
      </c>
      <c r="B12203" s="58" t="s">
        <v>10114</v>
      </c>
    </row>
    <row r="12204" spans="1:2" x14ac:dyDescent="0.25">
      <c r="A12204" s="57">
        <v>51101546</v>
      </c>
      <c r="B12204" s="58" t="s">
        <v>2167</v>
      </c>
    </row>
    <row r="12205" spans="1:2" x14ac:dyDescent="0.25">
      <c r="A12205" s="57">
        <v>51101547</v>
      </c>
      <c r="B12205" s="58" t="s">
        <v>9641</v>
      </c>
    </row>
    <row r="12206" spans="1:2" x14ac:dyDescent="0.25">
      <c r="A12206" s="57">
        <v>51101548</v>
      </c>
      <c r="B12206" s="58" t="s">
        <v>12212</v>
      </c>
    </row>
    <row r="12207" spans="1:2" x14ac:dyDescent="0.25">
      <c r="A12207" s="57">
        <v>51101549</v>
      </c>
      <c r="B12207" s="58" t="s">
        <v>10286</v>
      </c>
    </row>
    <row r="12208" spans="1:2" x14ac:dyDescent="0.25">
      <c r="A12208" s="57">
        <v>51101550</v>
      </c>
      <c r="B12208" s="58" t="s">
        <v>8488</v>
      </c>
    </row>
    <row r="12209" spans="1:2" x14ac:dyDescent="0.25">
      <c r="A12209" s="57">
        <v>51101551</v>
      </c>
      <c r="B12209" s="58" t="s">
        <v>11419</v>
      </c>
    </row>
    <row r="12210" spans="1:2" x14ac:dyDescent="0.25">
      <c r="A12210" s="57">
        <v>51101552</v>
      </c>
      <c r="B12210" s="58" t="s">
        <v>326</v>
      </c>
    </row>
    <row r="12211" spans="1:2" x14ac:dyDescent="0.25">
      <c r="A12211" s="57">
        <v>51101553</v>
      </c>
      <c r="B12211" s="58" t="s">
        <v>11065</v>
      </c>
    </row>
    <row r="12212" spans="1:2" x14ac:dyDescent="0.25">
      <c r="A12212" s="57">
        <v>51101554</v>
      </c>
      <c r="B12212" s="58" t="s">
        <v>11129</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11661</v>
      </c>
    </row>
    <row r="12228" spans="1:2" x14ac:dyDescent="0.25">
      <c r="A12228" s="57">
        <v>51101570</v>
      </c>
      <c r="B12228" s="58" t="s">
        <v>18568</v>
      </c>
    </row>
    <row r="12229" spans="1:2" x14ac:dyDescent="0.25">
      <c r="A12229" s="57">
        <v>51101571</v>
      </c>
      <c r="B12229" s="58" t="s">
        <v>11807</v>
      </c>
    </row>
    <row r="12230" spans="1:2" x14ac:dyDescent="0.25">
      <c r="A12230" s="57">
        <v>51101572</v>
      </c>
      <c r="B12230" s="58" t="s">
        <v>9606</v>
      </c>
    </row>
    <row r="12231" spans="1:2" x14ac:dyDescent="0.25">
      <c r="A12231" s="57">
        <v>51101573</v>
      </c>
      <c r="B12231" s="58" t="s">
        <v>13130</v>
      </c>
    </row>
    <row r="12232" spans="1:2" x14ac:dyDescent="0.25">
      <c r="A12232" s="57">
        <v>51101574</v>
      </c>
      <c r="B12232" s="58" t="s">
        <v>15357</v>
      </c>
    </row>
    <row r="12233" spans="1:2" x14ac:dyDescent="0.25">
      <c r="A12233" s="57">
        <v>51101575</v>
      </c>
      <c r="B12233" s="58" t="s">
        <v>10570</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13854</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13428</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13916</v>
      </c>
    </row>
    <row r="12254" spans="1:2" x14ac:dyDescent="0.25">
      <c r="A12254" s="57">
        <v>51101596</v>
      </c>
      <c r="B12254" s="58" t="s">
        <v>5288</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12699</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9789</v>
      </c>
    </row>
    <row r="12262" spans="1:2" x14ac:dyDescent="0.25">
      <c r="A12262" s="57">
        <v>51101606</v>
      </c>
      <c r="B12262" s="58" t="s">
        <v>12975</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11118</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9670</v>
      </c>
    </row>
    <row r="12283" spans="1:2" x14ac:dyDescent="0.25">
      <c r="A12283" s="57">
        <v>51101706</v>
      </c>
      <c r="B12283" s="58" t="s">
        <v>11683</v>
      </c>
    </row>
    <row r="12284" spans="1:2" x14ac:dyDescent="0.25">
      <c r="A12284" s="57">
        <v>51101707</v>
      </c>
      <c r="B12284" s="58" t="s">
        <v>10500</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10079</v>
      </c>
    </row>
    <row r="12288" spans="1:2" x14ac:dyDescent="0.25">
      <c r="A12288" s="57">
        <v>51101711</v>
      </c>
      <c r="B12288" s="58" t="s">
        <v>15618</v>
      </c>
    </row>
    <row r="12289" spans="1:2" x14ac:dyDescent="0.25">
      <c r="A12289" s="57">
        <v>51101712</v>
      </c>
      <c r="B12289" s="58" t="s">
        <v>10438</v>
      </c>
    </row>
    <row r="12290" spans="1:2" x14ac:dyDescent="0.25">
      <c r="A12290" s="57">
        <v>51101713</v>
      </c>
      <c r="B12290" s="58" t="s">
        <v>10631</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9975</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9645</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8935</v>
      </c>
    </row>
    <row r="12305" spans="1:2" x14ac:dyDescent="0.25">
      <c r="A12305" s="57">
        <v>51101808</v>
      </c>
      <c r="B12305" s="58" t="s">
        <v>12510</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12798</v>
      </c>
    </row>
    <row r="12312" spans="1:2" x14ac:dyDescent="0.25">
      <c r="A12312" s="57">
        <v>51101815</v>
      </c>
      <c r="B12312" s="58" t="s">
        <v>17277</v>
      </c>
    </row>
    <row r="12313" spans="1:2" x14ac:dyDescent="0.25">
      <c r="A12313" s="57">
        <v>51101816</v>
      </c>
      <c r="B12313" s="58" t="s">
        <v>9892</v>
      </c>
    </row>
    <row r="12314" spans="1:2" x14ac:dyDescent="0.25">
      <c r="A12314" s="57">
        <v>51101817</v>
      </c>
      <c r="B12314" s="58" t="s">
        <v>15261</v>
      </c>
    </row>
    <row r="12315" spans="1:2" x14ac:dyDescent="0.25">
      <c r="A12315" s="57">
        <v>51101818</v>
      </c>
      <c r="B12315" s="58" t="s">
        <v>11911</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11141</v>
      </c>
    </row>
    <row r="12321" spans="1:2" x14ac:dyDescent="0.25">
      <c r="A12321" s="57">
        <v>51101826</v>
      </c>
      <c r="B12321" s="58" t="s">
        <v>3263</v>
      </c>
    </row>
    <row r="12322" spans="1:2" x14ac:dyDescent="0.25">
      <c r="A12322" s="57">
        <v>51101827</v>
      </c>
      <c r="B12322" s="58" t="s">
        <v>10216</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13176</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12746</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12221</v>
      </c>
    </row>
    <row r="12340" spans="1:2" x14ac:dyDescent="0.25">
      <c r="A12340" s="57">
        <v>51101910</v>
      </c>
      <c r="B12340" s="58" t="s">
        <v>16506</v>
      </c>
    </row>
    <row r="12341" spans="1:2" x14ac:dyDescent="0.25">
      <c r="A12341" s="57">
        <v>51101911</v>
      </c>
      <c r="B12341" s="58" t="s">
        <v>10416</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15042</v>
      </c>
    </row>
    <row r="12350" spans="1:2" x14ac:dyDescent="0.25">
      <c r="A12350" s="57">
        <v>51102008</v>
      </c>
      <c r="B12350" s="58" t="s">
        <v>11038</v>
      </c>
    </row>
    <row r="12351" spans="1:2" x14ac:dyDescent="0.25">
      <c r="A12351" s="57">
        <v>51102009</v>
      </c>
      <c r="B12351" s="58" t="s">
        <v>12401</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9822</v>
      </c>
    </row>
    <row r="12360" spans="1:2" x14ac:dyDescent="0.25">
      <c r="A12360" s="57">
        <v>51102207</v>
      </c>
      <c r="B12360" s="58" t="s">
        <v>4398</v>
      </c>
    </row>
    <row r="12361" spans="1:2" x14ac:dyDescent="0.25">
      <c r="A12361" s="57">
        <v>51102208</v>
      </c>
      <c r="B12361" s="58" t="s">
        <v>10842</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12747</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10440</v>
      </c>
    </row>
    <row r="12369" spans="1:2" x14ac:dyDescent="0.25">
      <c r="A12369" s="57">
        <v>51102305</v>
      </c>
      <c r="B12369" s="58" t="s">
        <v>13235</v>
      </c>
    </row>
    <row r="12370" spans="1:2" x14ac:dyDescent="0.25">
      <c r="A12370" s="57">
        <v>51102306</v>
      </c>
      <c r="B12370" s="58" t="s">
        <v>10520</v>
      </c>
    </row>
    <row r="12371" spans="1:2" x14ac:dyDescent="0.25">
      <c r="A12371" s="57">
        <v>51102307</v>
      </c>
      <c r="B12371" s="58" t="s">
        <v>11751</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9627</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9985</v>
      </c>
    </row>
    <row r="12382" spans="1:2" x14ac:dyDescent="0.25">
      <c r="A12382" s="57">
        <v>51102318</v>
      </c>
      <c r="B12382" s="58" t="s">
        <v>1622</v>
      </c>
    </row>
    <row r="12383" spans="1:2" x14ac:dyDescent="0.25">
      <c r="A12383" s="57">
        <v>51102319</v>
      </c>
      <c r="B12383" s="58" t="s">
        <v>10754</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5462</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12620</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12370</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12344</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13186</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12063</v>
      </c>
    </row>
    <row r="12422" spans="1:2" x14ac:dyDescent="0.25">
      <c r="A12422" s="57">
        <v>51102717</v>
      </c>
      <c r="B12422" s="58" t="s">
        <v>8775</v>
      </c>
    </row>
    <row r="12423" spans="1:2" x14ac:dyDescent="0.25">
      <c r="A12423" s="57">
        <v>51102718</v>
      </c>
      <c r="B12423" s="58" t="s">
        <v>10196</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7499</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11029</v>
      </c>
    </row>
    <row r="12436" spans="1:2" x14ac:dyDescent="0.25">
      <c r="A12436" s="57">
        <v>51111501</v>
      </c>
      <c r="B12436" s="58" t="s">
        <v>11201</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10652</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10537</v>
      </c>
    </row>
    <row r="12443" spans="1:2" x14ac:dyDescent="0.25">
      <c r="A12443" s="57">
        <v>51111508</v>
      </c>
      <c r="B12443" s="58" t="s">
        <v>5062</v>
      </c>
    </row>
    <row r="12444" spans="1:2" x14ac:dyDescent="0.25">
      <c r="A12444" s="57">
        <v>51111509</v>
      </c>
      <c r="B12444" s="58" t="s">
        <v>11611</v>
      </c>
    </row>
    <row r="12445" spans="1:2" x14ac:dyDescent="0.25">
      <c r="A12445" s="57">
        <v>51111510</v>
      </c>
      <c r="B12445" s="58" t="s">
        <v>12288</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12409</v>
      </c>
    </row>
    <row r="12459" spans="1:2" x14ac:dyDescent="0.25">
      <c r="A12459" s="57">
        <v>51111603</v>
      </c>
      <c r="B12459" s="58" t="s">
        <v>4908</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9622</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11780</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11867</v>
      </c>
    </row>
    <row r="12479" spans="1:2" x14ac:dyDescent="0.25">
      <c r="A12479" s="57">
        <v>51111707</v>
      </c>
      <c r="B12479" s="58" t="s">
        <v>11766</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10528</v>
      </c>
    </row>
    <row r="12484" spans="1:2" x14ac:dyDescent="0.25">
      <c r="A12484" s="57">
        <v>51111712</v>
      </c>
      <c r="B12484" s="58" t="s">
        <v>10600</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13083</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9644</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6182</v>
      </c>
    </row>
    <row r="12505" spans="1:2" x14ac:dyDescent="0.25">
      <c r="A12505" s="57">
        <v>51111814</v>
      </c>
      <c r="B12505" s="58" t="s">
        <v>10908</v>
      </c>
    </row>
    <row r="12506" spans="1:2" x14ac:dyDescent="0.25">
      <c r="A12506" s="57">
        <v>51111815</v>
      </c>
      <c r="B12506" s="58" t="s">
        <v>12762</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10127</v>
      </c>
    </row>
    <row r="12510" spans="1:2" x14ac:dyDescent="0.25">
      <c r="A12510" s="57">
        <v>51111819</v>
      </c>
      <c r="B12510" s="58" t="s">
        <v>9344</v>
      </c>
    </row>
    <row r="12511" spans="1:2" x14ac:dyDescent="0.25">
      <c r="A12511" s="57">
        <v>51111820</v>
      </c>
      <c r="B12511" s="58" t="s">
        <v>14300</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9880</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9990</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11031</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10428</v>
      </c>
    </row>
    <row r="12527" spans="1:2" x14ac:dyDescent="0.25">
      <c r="A12527" s="57">
        <v>51121511</v>
      </c>
      <c r="B12527" s="58" t="s">
        <v>12683</v>
      </c>
    </row>
    <row r="12528" spans="1:2" x14ac:dyDescent="0.25">
      <c r="A12528" s="57">
        <v>51121512</v>
      </c>
      <c r="B12528" s="58" t="s">
        <v>16323</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9566</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11172</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11285</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12009</v>
      </c>
    </row>
    <row r="12547" spans="1:2" x14ac:dyDescent="0.25">
      <c r="A12547" s="57">
        <v>51121610</v>
      </c>
      <c r="B12547" s="58" t="s">
        <v>2715</v>
      </c>
    </row>
    <row r="12548" spans="1:2" x14ac:dyDescent="0.25">
      <c r="A12548" s="57">
        <v>51121611</v>
      </c>
      <c r="B12548" s="58" t="s">
        <v>11834</v>
      </c>
    </row>
    <row r="12549" spans="1:2" x14ac:dyDescent="0.25">
      <c r="A12549" s="57">
        <v>51121614</v>
      </c>
      <c r="B12549" s="58" t="s">
        <v>8366</v>
      </c>
    </row>
    <row r="12550" spans="1:2" x14ac:dyDescent="0.25">
      <c r="A12550" s="57">
        <v>51121615</v>
      </c>
      <c r="B12550" s="58" t="s">
        <v>12545</v>
      </c>
    </row>
    <row r="12551" spans="1:2" x14ac:dyDescent="0.25">
      <c r="A12551" s="57">
        <v>51121616</v>
      </c>
      <c r="B12551" s="58" t="s">
        <v>9936</v>
      </c>
    </row>
    <row r="12552" spans="1:2" x14ac:dyDescent="0.25">
      <c r="A12552" s="57">
        <v>51121701</v>
      </c>
      <c r="B12552" s="58" t="s">
        <v>12751</v>
      </c>
    </row>
    <row r="12553" spans="1:2" x14ac:dyDescent="0.25">
      <c r="A12553" s="57">
        <v>51121702</v>
      </c>
      <c r="B12553" s="58" t="s">
        <v>11379</v>
      </c>
    </row>
    <row r="12554" spans="1:2" x14ac:dyDescent="0.25">
      <c r="A12554" s="57">
        <v>51121703</v>
      </c>
      <c r="B12554" s="58" t="s">
        <v>12695</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10576</v>
      </c>
    </row>
    <row r="12558" spans="1:2" x14ac:dyDescent="0.25">
      <c r="A12558" s="57">
        <v>51121707</v>
      </c>
      <c r="B12558" s="58" t="s">
        <v>4860</v>
      </c>
    </row>
    <row r="12559" spans="1:2" x14ac:dyDescent="0.25">
      <c r="A12559" s="57">
        <v>51121708</v>
      </c>
      <c r="B12559" s="58" t="s">
        <v>13762</v>
      </c>
    </row>
    <row r="12560" spans="1:2" x14ac:dyDescent="0.25">
      <c r="A12560" s="57">
        <v>51121709</v>
      </c>
      <c r="B12560" s="58" t="s">
        <v>13227</v>
      </c>
    </row>
    <row r="12561" spans="1:2" x14ac:dyDescent="0.25">
      <c r="A12561" s="57">
        <v>51121710</v>
      </c>
      <c r="B12561" s="58" t="s">
        <v>10612</v>
      </c>
    </row>
    <row r="12562" spans="1:2" x14ac:dyDescent="0.25">
      <c r="A12562" s="57">
        <v>51121711</v>
      </c>
      <c r="B12562" s="58" t="s">
        <v>13143</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11122</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12088</v>
      </c>
    </row>
    <row r="12600" spans="1:2" x14ac:dyDescent="0.25">
      <c r="A12600" s="57">
        <v>51121754</v>
      </c>
      <c r="B12600" s="58" t="s">
        <v>7712</v>
      </c>
    </row>
    <row r="12601" spans="1:2" x14ac:dyDescent="0.25">
      <c r="A12601" s="57">
        <v>51121755</v>
      </c>
      <c r="B12601" s="58" t="s">
        <v>13336</v>
      </c>
    </row>
    <row r="12602" spans="1:2" x14ac:dyDescent="0.25">
      <c r="A12602" s="57">
        <v>51121756</v>
      </c>
      <c r="B12602" s="58" t="s">
        <v>12402</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12093</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10994</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9800</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10773</v>
      </c>
    </row>
    <row r="12635" spans="1:2" x14ac:dyDescent="0.25">
      <c r="A12635" s="57">
        <v>51121904</v>
      </c>
      <c r="B12635" s="58" t="s">
        <v>10573</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12169</v>
      </c>
    </row>
    <row r="12643" spans="1:2" x14ac:dyDescent="0.25">
      <c r="A12643" s="57">
        <v>51122104</v>
      </c>
      <c r="B12643" s="58" t="s">
        <v>10063</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13110</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11769</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10632</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12727</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17345</v>
      </c>
    </row>
    <row r="12667" spans="1:2" x14ac:dyDescent="0.25">
      <c r="A12667" s="57">
        <v>51131515</v>
      </c>
      <c r="B12667" s="58" t="s">
        <v>5632</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12157</v>
      </c>
    </row>
    <row r="12673" spans="1:2" x14ac:dyDescent="0.25">
      <c r="A12673" s="57">
        <v>51131605</v>
      </c>
      <c r="B12673" s="58" t="s">
        <v>11678</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10471</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11412</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11478</v>
      </c>
    </row>
    <row r="12690" spans="1:2" x14ac:dyDescent="0.25">
      <c r="A12690" s="57">
        <v>51131705</v>
      </c>
      <c r="B12690" s="58" t="s">
        <v>10782</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10638</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12123</v>
      </c>
    </row>
    <row r="12697" spans="1:2" x14ac:dyDescent="0.25">
      <c r="A12697" s="57">
        <v>51131712</v>
      </c>
      <c r="B12697" s="58" t="s">
        <v>10613</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12333</v>
      </c>
    </row>
    <row r="12706" spans="1:2" x14ac:dyDescent="0.25">
      <c r="A12706" s="57">
        <v>51131805</v>
      </c>
      <c r="B12706" s="58" t="s">
        <v>13106</v>
      </c>
    </row>
    <row r="12707" spans="1:2" x14ac:dyDescent="0.25">
      <c r="A12707" s="57">
        <v>51131806</v>
      </c>
      <c r="B12707" s="58" t="s">
        <v>15433</v>
      </c>
    </row>
    <row r="12708" spans="1:2" x14ac:dyDescent="0.25">
      <c r="A12708" s="57">
        <v>51131807</v>
      </c>
      <c r="B12708" s="58" t="s">
        <v>10724</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12993</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12885</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12969</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11229</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10898</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12109</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10452</v>
      </c>
    </row>
    <row r="12769" spans="1:2" x14ac:dyDescent="0.25">
      <c r="A12769" s="57">
        <v>51141616</v>
      </c>
      <c r="B12769" s="58" t="s">
        <v>14649</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17795</v>
      </c>
    </row>
    <row r="12784" spans="1:2" x14ac:dyDescent="0.25">
      <c r="A12784" s="57">
        <v>51141631</v>
      </c>
      <c r="B12784" s="58" t="s">
        <v>5796</v>
      </c>
    </row>
    <row r="12785" spans="1:2" x14ac:dyDescent="0.25">
      <c r="A12785" s="57">
        <v>51141632</v>
      </c>
      <c r="B12785" s="58" t="s">
        <v>12839</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10792</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12789</v>
      </c>
    </row>
    <row r="12818" spans="1:2" x14ac:dyDescent="0.25">
      <c r="A12818" s="57">
        <v>51141803</v>
      </c>
      <c r="B12818" s="58" t="s">
        <v>3908</v>
      </c>
    </row>
    <row r="12819" spans="1:2" x14ac:dyDescent="0.25">
      <c r="A12819" s="57">
        <v>51141804</v>
      </c>
      <c r="B12819" s="58" t="s">
        <v>10310</v>
      </c>
    </row>
    <row r="12820" spans="1:2" x14ac:dyDescent="0.25">
      <c r="A12820" s="57">
        <v>51141805</v>
      </c>
      <c r="B12820" s="58" t="s">
        <v>14814</v>
      </c>
    </row>
    <row r="12821" spans="1:2" x14ac:dyDescent="0.25">
      <c r="A12821" s="57">
        <v>51141806</v>
      </c>
      <c r="B12821" s="58" t="s">
        <v>11926</v>
      </c>
    </row>
    <row r="12822" spans="1:2" x14ac:dyDescent="0.25">
      <c r="A12822" s="57">
        <v>51141807</v>
      </c>
      <c r="B12822" s="58" t="s">
        <v>11594</v>
      </c>
    </row>
    <row r="12823" spans="1:2" x14ac:dyDescent="0.25">
      <c r="A12823" s="57">
        <v>51141808</v>
      </c>
      <c r="B12823" s="58" t="s">
        <v>11430</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11438</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6041</v>
      </c>
    </row>
    <row r="12837" spans="1:2" x14ac:dyDescent="0.25">
      <c r="A12837" s="57">
        <v>51141822</v>
      </c>
      <c r="B12837" s="58" t="s">
        <v>13006</v>
      </c>
    </row>
    <row r="12838" spans="1:2" x14ac:dyDescent="0.25">
      <c r="A12838" s="57">
        <v>51141903</v>
      </c>
      <c r="B12838" s="58" t="s">
        <v>13668</v>
      </c>
    </row>
    <row r="12839" spans="1:2" x14ac:dyDescent="0.25">
      <c r="A12839" s="57">
        <v>51141904</v>
      </c>
      <c r="B12839" s="58" t="s">
        <v>10834</v>
      </c>
    </row>
    <row r="12840" spans="1:2" x14ac:dyDescent="0.25">
      <c r="A12840" s="57">
        <v>51141907</v>
      </c>
      <c r="B12840" s="58" t="s">
        <v>18464</v>
      </c>
    </row>
    <row r="12841" spans="1:2" x14ac:dyDescent="0.25">
      <c r="A12841" s="57">
        <v>51141908</v>
      </c>
      <c r="B12841" s="58" t="s">
        <v>10230</v>
      </c>
    </row>
    <row r="12842" spans="1:2" x14ac:dyDescent="0.25">
      <c r="A12842" s="57">
        <v>51141910</v>
      </c>
      <c r="B12842" s="58" t="s">
        <v>7448</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10972</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10729</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12363</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11055</v>
      </c>
    </row>
    <row r="12874" spans="1:2" x14ac:dyDescent="0.25">
      <c r="A12874" s="57">
        <v>51142104</v>
      </c>
      <c r="B12874" s="58" t="s">
        <v>2692</v>
      </c>
    </row>
    <row r="12875" spans="1:2" x14ac:dyDescent="0.25">
      <c r="A12875" s="57">
        <v>51142105</v>
      </c>
      <c r="B12875" s="58" t="s">
        <v>10268</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6147</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10769</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14378</v>
      </c>
    </row>
    <row r="12891" spans="1:2" x14ac:dyDescent="0.25">
      <c r="A12891" s="57">
        <v>51142122</v>
      </c>
      <c r="B12891" s="58" t="s">
        <v>13150</v>
      </c>
    </row>
    <row r="12892" spans="1:2" x14ac:dyDescent="0.25">
      <c r="A12892" s="57">
        <v>51142123</v>
      </c>
      <c r="B12892" s="58" t="s">
        <v>10198</v>
      </c>
    </row>
    <row r="12893" spans="1:2" x14ac:dyDescent="0.25">
      <c r="A12893" s="57">
        <v>51142124</v>
      </c>
      <c r="B12893" s="58" t="s">
        <v>16216</v>
      </c>
    </row>
    <row r="12894" spans="1:2" x14ac:dyDescent="0.25">
      <c r="A12894" s="57">
        <v>51142125</v>
      </c>
      <c r="B12894" s="58" t="s">
        <v>11847</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13080</v>
      </c>
    </row>
    <row r="12898" spans="1:2" x14ac:dyDescent="0.25">
      <c r="A12898" s="57">
        <v>51142129</v>
      </c>
      <c r="B12898" s="58" t="s">
        <v>10123</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10630</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10227</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11572</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9660</v>
      </c>
    </row>
    <row r="12914" spans="1:2" x14ac:dyDescent="0.25">
      <c r="A12914" s="57">
        <v>51142145</v>
      </c>
      <c r="B12914" s="58" t="s">
        <v>11938</v>
      </c>
    </row>
    <row r="12915" spans="1:2" x14ac:dyDescent="0.25">
      <c r="A12915" s="57">
        <v>51142146</v>
      </c>
      <c r="B12915" s="58" t="s">
        <v>10001</v>
      </c>
    </row>
    <row r="12916" spans="1:2" x14ac:dyDescent="0.25">
      <c r="A12916" s="57">
        <v>51142147</v>
      </c>
      <c r="B12916" s="58" t="s">
        <v>5957</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11860</v>
      </c>
    </row>
    <row r="12922" spans="1:2" x14ac:dyDescent="0.25">
      <c r="A12922" s="57">
        <v>51142205</v>
      </c>
      <c r="B12922" s="58" t="s">
        <v>6636</v>
      </c>
    </row>
    <row r="12923" spans="1:2" x14ac:dyDescent="0.25">
      <c r="A12923" s="57">
        <v>51142206</v>
      </c>
      <c r="B12923" s="58" t="s">
        <v>11879</v>
      </c>
    </row>
    <row r="12924" spans="1:2" x14ac:dyDescent="0.25">
      <c r="A12924" s="57">
        <v>51142207</v>
      </c>
      <c r="B12924" s="58" t="s">
        <v>10636</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10709</v>
      </c>
    </row>
    <row r="12930" spans="1:2" x14ac:dyDescent="0.25">
      <c r="A12930" s="57">
        <v>51142213</v>
      </c>
      <c r="B12930" s="58" t="s">
        <v>7203</v>
      </c>
    </row>
    <row r="12931" spans="1:2" x14ac:dyDescent="0.25">
      <c r="A12931" s="57">
        <v>51142214</v>
      </c>
      <c r="B12931" s="58" t="s">
        <v>10944</v>
      </c>
    </row>
    <row r="12932" spans="1:2" x14ac:dyDescent="0.25">
      <c r="A12932" s="57">
        <v>51142215</v>
      </c>
      <c r="B12932" s="58" t="s">
        <v>445</v>
      </c>
    </row>
    <row r="12933" spans="1:2" x14ac:dyDescent="0.25">
      <c r="A12933" s="57">
        <v>51142216</v>
      </c>
      <c r="B12933" s="58" t="s">
        <v>10556</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11608</v>
      </c>
    </row>
    <row r="12943" spans="1:2" x14ac:dyDescent="0.25">
      <c r="A12943" s="57">
        <v>51142226</v>
      </c>
      <c r="B12943" s="58" t="s">
        <v>15800</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12095</v>
      </c>
    </row>
    <row r="12952" spans="1:2" x14ac:dyDescent="0.25">
      <c r="A12952" s="57">
        <v>51142235</v>
      </c>
      <c r="B12952" s="58" t="s">
        <v>12037</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10575</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6154</v>
      </c>
    </row>
    <row r="12963" spans="1:2" x14ac:dyDescent="0.25">
      <c r="A12963" s="57">
        <v>51142404</v>
      </c>
      <c r="B12963" s="58" t="s">
        <v>16278</v>
      </c>
    </row>
    <row r="12964" spans="1:2" x14ac:dyDescent="0.25">
      <c r="A12964" s="57">
        <v>51142405</v>
      </c>
      <c r="B12964" s="58" t="s">
        <v>10396</v>
      </c>
    </row>
    <row r="12965" spans="1:2" x14ac:dyDescent="0.25">
      <c r="A12965" s="57">
        <v>51142406</v>
      </c>
      <c r="B12965" s="58" t="s">
        <v>4980</v>
      </c>
    </row>
    <row r="12966" spans="1:2" x14ac:dyDescent="0.25">
      <c r="A12966" s="57">
        <v>51142407</v>
      </c>
      <c r="B12966" s="58" t="s">
        <v>14652</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12047</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11728</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11717</v>
      </c>
    </row>
    <row r="12987" spans="1:2" x14ac:dyDescent="0.25">
      <c r="A12987" s="57">
        <v>51142604</v>
      </c>
      <c r="B12987" s="58" t="s">
        <v>10062</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13645</v>
      </c>
    </row>
    <row r="12991" spans="1:2" x14ac:dyDescent="0.25">
      <c r="A12991" s="57">
        <v>51142608</v>
      </c>
      <c r="B12991" s="58" t="s">
        <v>11647</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12680</v>
      </c>
    </row>
    <row r="12995" spans="1:2" x14ac:dyDescent="0.25">
      <c r="A12995" s="57">
        <v>51142612</v>
      </c>
      <c r="B12995" s="58" t="s">
        <v>11002</v>
      </c>
    </row>
    <row r="12996" spans="1:2" x14ac:dyDescent="0.25">
      <c r="A12996" s="57">
        <v>51142613</v>
      </c>
      <c r="B12996" s="58" t="s">
        <v>16973</v>
      </c>
    </row>
    <row r="12997" spans="1:2" x14ac:dyDescent="0.25">
      <c r="A12997" s="57">
        <v>51142614</v>
      </c>
      <c r="B12997" s="58" t="s">
        <v>11397</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14547</v>
      </c>
    </row>
    <row r="13006" spans="1:2" x14ac:dyDescent="0.25">
      <c r="A13006" s="57">
        <v>51142901</v>
      </c>
      <c r="B13006" s="58" t="s">
        <v>4855</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13187</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9837</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12696</v>
      </c>
    </row>
    <row r="13021" spans="1:2" x14ac:dyDescent="0.25">
      <c r="A13021" s="57">
        <v>51142916</v>
      </c>
      <c r="B13021" s="58" t="s">
        <v>7687</v>
      </c>
    </row>
    <row r="13022" spans="1:2" x14ac:dyDescent="0.25">
      <c r="A13022" s="57">
        <v>51142917</v>
      </c>
      <c r="B13022" s="58" t="s">
        <v>10041</v>
      </c>
    </row>
    <row r="13023" spans="1:2" x14ac:dyDescent="0.25">
      <c r="A13023" s="57">
        <v>51142918</v>
      </c>
      <c r="B13023" s="58" t="s">
        <v>8020</v>
      </c>
    </row>
    <row r="13024" spans="1:2" x14ac:dyDescent="0.25">
      <c r="A13024" s="57">
        <v>51142919</v>
      </c>
      <c r="B13024" s="58" t="s">
        <v>10966</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10755</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11950</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11480</v>
      </c>
    </row>
    <row r="13047" spans="1:2" x14ac:dyDescent="0.25">
      <c r="A13047" s="57">
        <v>51142942</v>
      </c>
      <c r="B13047" s="58" t="s">
        <v>3439</v>
      </c>
    </row>
    <row r="13048" spans="1:2" x14ac:dyDescent="0.25">
      <c r="A13048" s="57">
        <v>51142943</v>
      </c>
      <c r="B13048" s="58" t="s">
        <v>9716</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12638</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11106</v>
      </c>
    </row>
    <row r="13067" spans="1:2" x14ac:dyDescent="0.25">
      <c r="A13067" s="57">
        <v>51151515</v>
      </c>
      <c r="B13067" s="58" t="s">
        <v>11774</v>
      </c>
    </row>
    <row r="13068" spans="1:2" x14ac:dyDescent="0.25">
      <c r="A13068" s="57">
        <v>51151516</v>
      </c>
      <c r="B13068" s="58" t="s">
        <v>11831</v>
      </c>
    </row>
    <row r="13069" spans="1:2" x14ac:dyDescent="0.25">
      <c r="A13069" s="57">
        <v>51151517</v>
      </c>
      <c r="B13069" s="58" t="s">
        <v>16203</v>
      </c>
    </row>
    <row r="13070" spans="1:2" x14ac:dyDescent="0.25">
      <c r="A13070" s="57">
        <v>51151518</v>
      </c>
      <c r="B13070" s="58" t="s">
        <v>11321</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9774</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10134</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12865</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12744</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6014</v>
      </c>
    </row>
    <row r="13098" spans="1:2" x14ac:dyDescent="0.25">
      <c r="A13098" s="57">
        <v>51151712</v>
      </c>
      <c r="B13098" s="58" t="s">
        <v>9642</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11356</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14028</v>
      </c>
    </row>
    <row r="13116" spans="1:2" x14ac:dyDescent="0.25">
      <c r="A13116" s="57">
        <v>51151730</v>
      </c>
      <c r="B13116" s="58" t="s">
        <v>12831</v>
      </c>
    </row>
    <row r="13117" spans="1:2" x14ac:dyDescent="0.25">
      <c r="A13117" s="57">
        <v>51151731</v>
      </c>
      <c r="B13117" s="58" t="s">
        <v>10417</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11656</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5073</v>
      </c>
    </row>
    <row r="13131" spans="1:2" x14ac:dyDescent="0.25">
      <c r="A13131" s="57">
        <v>51151745</v>
      </c>
      <c r="B13131" s="58" t="s">
        <v>11793</v>
      </c>
    </row>
    <row r="13132" spans="1:2" x14ac:dyDescent="0.25">
      <c r="A13132" s="57">
        <v>51151746</v>
      </c>
      <c r="B13132" s="58" t="s">
        <v>12470</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13635</v>
      </c>
    </row>
    <row r="13136" spans="1:2" x14ac:dyDescent="0.25">
      <c r="A13136" s="57">
        <v>51151801</v>
      </c>
      <c r="B13136" s="58" t="s">
        <v>8172</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12516</v>
      </c>
    </row>
    <row r="13143" spans="1:2" x14ac:dyDescent="0.25">
      <c r="A13143" s="57">
        <v>51151812</v>
      </c>
      <c r="B13143" s="58" t="s">
        <v>11362</v>
      </c>
    </row>
    <row r="13144" spans="1:2" x14ac:dyDescent="0.25">
      <c r="A13144" s="57">
        <v>51151813</v>
      </c>
      <c r="B13144" s="58" t="s">
        <v>14420</v>
      </c>
    </row>
    <row r="13145" spans="1:2" x14ac:dyDescent="0.25">
      <c r="A13145" s="57">
        <v>51151814</v>
      </c>
      <c r="B13145" s="58" t="s">
        <v>11267</v>
      </c>
    </row>
    <row r="13146" spans="1:2" x14ac:dyDescent="0.25">
      <c r="A13146" s="57">
        <v>51151815</v>
      </c>
      <c r="B13146" s="58" t="s">
        <v>4373</v>
      </c>
    </row>
    <row r="13147" spans="1:2" x14ac:dyDescent="0.25">
      <c r="A13147" s="57">
        <v>51151816</v>
      </c>
      <c r="B13147" s="58" t="s">
        <v>10097</v>
      </c>
    </row>
    <row r="13148" spans="1:2" x14ac:dyDescent="0.25">
      <c r="A13148" s="57">
        <v>51151817</v>
      </c>
      <c r="B13148" s="58" t="s">
        <v>12785</v>
      </c>
    </row>
    <row r="13149" spans="1:2" x14ac:dyDescent="0.25">
      <c r="A13149" s="57">
        <v>51151818</v>
      </c>
      <c r="B13149" s="58" t="s">
        <v>10076</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11486</v>
      </c>
    </row>
    <row r="13158" spans="1:2" x14ac:dyDescent="0.25">
      <c r="A13158" s="57">
        <v>51151902</v>
      </c>
      <c r="B13158" s="58" t="s">
        <v>8225</v>
      </c>
    </row>
    <row r="13159" spans="1:2" x14ac:dyDescent="0.25">
      <c r="A13159" s="57">
        <v>51151903</v>
      </c>
      <c r="B13159" s="58" t="s">
        <v>13035</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17283</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5828</v>
      </c>
    </row>
    <row r="13169" spans="1:2" x14ac:dyDescent="0.25">
      <c r="A13169" s="57">
        <v>51151914</v>
      </c>
      <c r="B13169" s="58" t="s">
        <v>10622</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12648</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11644</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4270</v>
      </c>
    </row>
    <row r="13198" spans="1:2" x14ac:dyDescent="0.25">
      <c r="A13198" s="57">
        <v>51161516</v>
      </c>
      <c r="B13198" s="58" t="s">
        <v>11010</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11163</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11839</v>
      </c>
    </row>
    <row r="13216" spans="1:2" x14ac:dyDescent="0.25">
      <c r="A13216" s="57">
        <v>51161618</v>
      </c>
      <c r="B13216" s="58" t="s">
        <v>13026</v>
      </c>
    </row>
    <row r="13217" spans="1:2" x14ac:dyDescent="0.25">
      <c r="A13217" s="57">
        <v>51161619</v>
      </c>
      <c r="B13217" s="58" t="s">
        <v>13136</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10036</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10896</v>
      </c>
    </row>
    <row r="13234" spans="1:2" x14ac:dyDescent="0.25">
      <c r="A13234" s="57">
        <v>51161636</v>
      </c>
      <c r="B13234" s="58" t="s">
        <v>17402</v>
      </c>
    </row>
    <row r="13235" spans="1:2" x14ac:dyDescent="0.25">
      <c r="A13235" s="57">
        <v>51161637</v>
      </c>
      <c r="B13235" s="58" t="s">
        <v>7931</v>
      </c>
    </row>
    <row r="13236" spans="1:2" x14ac:dyDescent="0.25">
      <c r="A13236" s="57">
        <v>51161638</v>
      </c>
      <c r="B13236" s="58" t="s">
        <v>12660</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11214</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12971</v>
      </c>
    </row>
    <row r="13246" spans="1:2" x14ac:dyDescent="0.25">
      <c r="A13246" s="57">
        <v>51161702</v>
      </c>
      <c r="B13246" s="58" t="s">
        <v>12845</v>
      </c>
    </row>
    <row r="13247" spans="1:2" x14ac:dyDescent="0.25">
      <c r="A13247" s="57">
        <v>51161703</v>
      </c>
      <c r="B13247" s="58" t="s">
        <v>12844</v>
      </c>
    </row>
    <row r="13248" spans="1:2" x14ac:dyDescent="0.25">
      <c r="A13248" s="57">
        <v>51161704</v>
      </c>
      <c r="B13248" s="58" t="s">
        <v>16403</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14089</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9881</v>
      </c>
    </row>
    <row r="13262" spans="1:2" x14ac:dyDescent="0.25">
      <c r="A13262" s="57">
        <v>51161810</v>
      </c>
      <c r="B13262" s="58" t="s">
        <v>10367</v>
      </c>
    </row>
    <row r="13263" spans="1:2" x14ac:dyDescent="0.25">
      <c r="A13263" s="57">
        <v>51161811</v>
      </c>
      <c r="B13263" s="58" t="s">
        <v>5873</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10790</v>
      </c>
    </row>
    <row r="13268" spans="1:2" x14ac:dyDescent="0.25">
      <c r="A13268" s="57">
        <v>51161817</v>
      </c>
      <c r="B13268" s="58" t="s">
        <v>9104</v>
      </c>
    </row>
    <row r="13269" spans="1:2" x14ac:dyDescent="0.25">
      <c r="A13269" s="57">
        <v>51161818</v>
      </c>
      <c r="B13269" s="58" t="s">
        <v>14430</v>
      </c>
    </row>
    <row r="13270" spans="1:2" x14ac:dyDescent="0.25">
      <c r="A13270" s="57">
        <v>51161819</v>
      </c>
      <c r="B13270" s="58" t="s">
        <v>12824</v>
      </c>
    </row>
    <row r="13271" spans="1:2" x14ac:dyDescent="0.25">
      <c r="A13271" s="57">
        <v>51161820</v>
      </c>
      <c r="B13271" s="58" t="s">
        <v>14232</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12874</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12376</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5563</v>
      </c>
    </row>
    <row r="13289" spans="1:2" x14ac:dyDescent="0.25">
      <c r="A13289" s="57">
        <v>51171605</v>
      </c>
      <c r="B13289" s="58" t="s">
        <v>14544</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11518</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6255</v>
      </c>
    </row>
    <row r="13300" spans="1:2" x14ac:dyDescent="0.25">
      <c r="A13300" s="57">
        <v>51171616</v>
      </c>
      <c r="B13300" s="58" t="s">
        <v>9414</v>
      </c>
    </row>
    <row r="13301" spans="1:2" x14ac:dyDescent="0.25">
      <c r="A13301" s="57">
        <v>51171617</v>
      </c>
      <c r="B13301" s="58" t="s">
        <v>13679</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12776</v>
      </c>
    </row>
    <row r="13306" spans="1:2" x14ac:dyDescent="0.25">
      <c r="A13306" s="57">
        <v>51171622</v>
      </c>
      <c r="B13306" s="58" t="s">
        <v>11924</v>
      </c>
    </row>
    <row r="13307" spans="1:2" x14ac:dyDescent="0.25">
      <c r="A13307" s="57">
        <v>51171623</v>
      </c>
      <c r="B13307" s="58" t="s">
        <v>12840</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11328</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11986</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9875</v>
      </c>
    </row>
    <row r="13325" spans="1:2" x14ac:dyDescent="0.25">
      <c r="A13325" s="57">
        <v>51171711</v>
      </c>
      <c r="B13325" s="58" t="s">
        <v>17995</v>
      </c>
    </row>
    <row r="13326" spans="1:2" x14ac:dyDescent="0.25">
      <c r="A13326" s="57">
        <v>51171712</v>
      </c>
      <c r="B13326" s="58" t="s">
        <v>12847</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10750</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18666</v>
      </c>
    </row>
    <row r="13334" spans="1:2" x14ac:dyDescent="0.25">
      <c r="A13334" s="57">
        <v>51171808</v>
      </c>
      <c r="B13334" s="58" t="s">
        <v>10040</v>
      </c>
    </row>
    <row r="13335" spans="1:2" x14ac:dyDescent="0.25">
      <c r="A13335" s="57">
        <v>51171809</v>
      </c>
      <c r="B13335" s="58" t="s">
        <v>12040</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12998</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11408</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11875</v>
      </c>
    </row>
    <row r="13354" spans="1:2" x14ac:dyDescent="0.25">
      <c r="A13354" s="57">
        <v>51171907</v>
      </c>
      <c r="B13354" s="58" t="s">
        <v>10957</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11633</v>
      </c>
    </row>
    <row r="13359" spans="1:2" x14ac:dyDescent="0.25">
      <c r="A13359" s="57">
        <v>51171912</v>
      </c>
      <c r="B13359" s="58" t="s">
        <v>16057</v>
      </c>
    </row>
    <row r="13360" spans="1:2" x14ac:dyDescent="0.25">
      <c r="A13360" s="57">
        <v>51171913</v>
      </c>
      <c r="B13360" s="58" t="s">
        <v>9756</v>
      </c>
    </row>
    <row r="13361" spans="1:2" x14ac:dyDescent="0.25">
      <c r="A13361" s="57">
        <v>51171914</v>
      </c>
      <c r="B13361" s="58" t="s">
        <v>12202</v>
      </c>
    </row>
    <row r="13362" spans="1:2" x14ac:dyDescent="0.25">
      <c r="A13362" s="57">
        <v>51171915</v>
      </c>
      <c r="B13362" s="58" t="s">
        <v>8995</v>
      </c>
    </row>
    <row r="13363" spans="1:2" x14ac:dyDescent="0.25">
      <c r="A13363" s="57">
        <v>51171916</v>
      </c>
      <c r="B13363" s="58" t="s">
        <v>17223</v>
      </c>
    </row>
    <row r="13364" spans="1:2" x14ac:dyDescent="0.25">
      <c r="A13364" s="57">
        <v>51171917</v>
      </c>
      <c r="B13364" s="58" t="s">
        <v>11679</v>
      </c>
    </row>
    <row r="13365" spans="1:2" x14ac:dyDescent="0.25">
      <c r="A13365" s="57">
        <v>51171918</v>
      </c>
      <c r="B13365" s="58" t="s">
        <v>10624</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12584</v>
      </c>
    </row>
    <row r="13370" spans="1:2" x14ac:dyDescent="0.25">
      <c r="A13370" s="57">
        <v>51172101</v>
      </c>
      <c r="B13370" s="58" t="s">
        <v>9878</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12058</v>
      </c>
    </row>
    <row r="13375" spans="1:2" x14ac:dyDescent="0.25">
      <c r="A13375" s="57">
        <v>51172107</v>
      </c>
      <c r="B13375" s="58" t="s">
        <v>8077</v>
      </c>
    </row>
    <row r="13376" spans="1:2" x14ac:dyDescent="0.25">
      <c r="A13376" s="57">
        <v>51172108</v>
      </c>
      <c r="B13376" s="58" t="s">
        <v>14269</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16312</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14433</v>
      </c>
    </row>
    <row r="13387" spans="1:2" x14ac:dyDescent="0.25">
      <c r="A13387" s="57">
        <v>51181509</v>
      </c>
      <c r="B13387" s="58" t="s">
        <v>12553</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10863</v>
      </c>
    </row>
    <row r="13397" spans="1:2" x14ac:dyDescent="0.25">
      <c r="A13397" s="57">
        <v>51181521</v>
      </c>
      <c r="B13397" s="58" t="s">
        <v>6191</v>
      </c>
    </row>
    <row r="13398" spans="1:2" x14ac:dyDescent="0.25">
      <c r="A13398" s="57">
        <v>51181522</v>
      </c>
      <c r="B13398" s="58" t="s">
        <v>12804</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13261</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6006</v>
      </c>
    </row>
    <row r="13407" spans="1:2" x14ac:dyDescent="0.25">
      <c r="A13407" s="57">
        <v>51181607</v>
      </c>
      <c r="B13407" s="58" t="s">
        <v>5805</v>
      </c>
    </row>
    <row r="13408" spans="1:2" x14ac:dyDescent="0.25">
      <c r="A13408" s="57">
        <v>51181608</v>
      </c>
      <c r="B13408" s="58" t="s">
        <v>10498</v>
      </c>
    </row>
    <row r="13409" spans="1:2" x14ac:dyDescent="0.25">
      <c r="A13409" s="57">
        <v>51181609</v>
      </c>
      <c r="B13409" s="58" t="s">
        <v>10824</v>
      </c>
    </row>
    <row r="13410" spans="1:2" x14ac:dyDescent="0.25">
      <c r="A13410" s="57">
        <v>51181701</v>
      </c>
      <c r="B13410" s="58" t="s">
        <v>12049</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13993</v>
      </c>
    </row>
    <row r="13418" spans="1:2" x14ac:dyDescent="0.25">
      <c r="A13418" s="57">
        <v>51181709</v>
      </c>
      <c r="B13418" s="58" t="s">
        <v>12100</v>
      </c>
    </row>
    <row r="13419" spans="1:2" x14ac:dyDescent="0.25">
      <c r="A13419" s="57">
        <v>51181710</v>
      </c>
      <c r="B13419" s="58" t="s">
        <v>13752</v>
      </c>
    </row>
    <row r="13420" spans="1:2" x14ac:dyDescent="0.25">
      <c r="A13420" s="57">
        <v>51181711</v>
      </c>
      <c r="B13420" s="58" t="s">
        <v>4780</v>
      </c>
    </row>
    <row r="13421" spans="1:2" x14ac:dyDescent="0.25">
      <c r="A13421" s="57">
        <v>51181712</v>
      </c>
      <c r="B13421" s="58" t="s">
        <v>12956</v>
      </c>
    </row>
    <row r="13422" spans="1:2" x14ac:dyDescent="0.25">
      <c r="A13422" s="57">
        <v>51181713</v>
      </c>
      <c r="B13422" s="58" t="s">
        <v>12700</v>
      </c>
    </row>
    <row r="13423" spans="1:2" x14ac:dyDescent="0.25">
      <c r="A13423" s="57">
        <v>51181714</v>
      </c>
      <c r="B13423" s="58" t="s">
        <v>2079</v>
      </c>
    </row>
    <row r="13424" spans="1:2" x14ac:dyDescent="0.25">
      <c r="A13424" s="57">
        <v>51181715</v>
      </c>
      <c r="B13424" s="58" t="s">
        <v>10615</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12170</v>
      </c>
    </row>
    <row r="13428" spans="1:2" x14ac:dyDescent="0.25">
      <c r="A13428" s="57">
        <v>51181719</v>
      </c>
      <c r="B13428" s="58" t="s">
        <v>12823</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9999</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10572</v>
      </c>
    </row>
    <row r="13444" spans="1:2" x14ac:dyDescent="0.25">
      <c r="A13444" s="57">
        <v>51181735</v>
      </c>
      <c r="B13444" s="58" t="s">
        <v>8115</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13140</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12246</v>
      </c>
    </row>
    <row r="13452" spans="1:2" x14ac:dyDescent="0.25">
      <c r="A13452" s="57">
        <v>51181743</v>
      </c>
      <c r="B13452" s="58" t="s">
        <v>11160</v>
      </c>
    </row>
    <row r="13453" spans="1:2" x14ac:dyDescent="0.25">
      <c r="A13453" s="57">
        <v>51181744</v>
      </c>
      <c r="B13453" s="58" t="s">
        <v>600</v>
      </c>
    </row>
    <row r="13454" spans="1:2" x14ac:dyDescent="0.25">
      <c r="A13454" s="57">
        <v>51181745</v>
      </c>
      <c r="B13454" s="58" t="s">
        <v>12915</v>
      </c>
    </row>
    <row r="13455" spans="1:2" x14ac:dyDescent="0.25">
      <c r="A13455" s="57">
        <v>51181746</v>
      </c>
      <c r="B13455" s="58" t="s">
        <v>11418</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13029</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13062</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10008</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10019</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9657</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11198</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9316</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10815</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14611</v>
      </c>
    </row>
    <row r="13500" spans="1:2" x14ac:dyDescent="0.25">
      <c r="A13500" s="57">
        <v>51181903</v>
      </c>
      <c r="B13500" s="58" t="s">
        <v>9768</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14598</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9963</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11207</v>
      </c>
    </row>
    <row r="13519" spans="1:2" x14ac:dyDescent="0.25">
      <c r="A13519" s="57">
        <v>51182012</v>
      </c>
      <c r="B13519" s="58" t="s">
        <v>6896</v>
      </c>
    </row>
    <row r="13520" spans="1:2" x14ac:dyDescent="0.25">
      <c r="A13520" s="57">
        <v>51182013</v>
      </c>
      <c r="B13520" s="58" t="s">
        <v>11299</v>
      </c>
    </row>
    <row r="13521" spans="1:2" x14ac:dyDescent="0.25">
      <c r="A13521" s="57">
        <v>51182014</v>
      </c>
      <c r="B13521" s="58" t="s">
        <v>10245</v>
      </c>
    </row>
    <row r="13522" spans="1:2" x14ac:dyDescent="0.25">
      <c r="A13522" s="57">
        <v>51182101</v>
      </c>
      <c r="B13522" s="58" t="s">
        <v>12243</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11557</v>
      </c>
    </row>
    <row r="13528" spans="1:2" x14ac:dyDescent="0.25">
      <c r="A13528" s="57">
        <v>51182301</v>
      </c>
      <c r="B13528" s="58" t="s">
        <v>15247</v>
      </c>
    </row>
    <row r="13529" spans="1:2" x14ac:dyDescent="0.25">
      <c r="A13529" s="57">
        <v>51182302</v>
      </c>
      <c r="B13529" s="58" t="s">
        <v>11977</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12225</v>
      </c>
    </row>
    <row r="13533" spans="1:2" x14ac:dyDescent="0.25">
      <c r="A13533" s="57">
        <v>51182403</v>
      </c>
      <c r="B13533" s="58" t="s">
        <v>12981</v>
      </c>
    </row>
    <row r="13534" spans="1:2" x14ac:dyDescent="0.25">
      <c r="A13534" s="57">
        <v>51182404</v>
      </c>
      <c r="B13534" s="58" t="s">
        <v>12448</v>
      </c>
    </row>
    <row r="13535" spans="1:2" x14ac:dyDescent="0.25">
      <c r="A13535" s="57">
        <v>51182405</v>
      </c>
      <c r="B13535" s="58" t="s">
        <v>11934</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11989</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10243</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11096</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11318</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17362</v>
      </c>
    </row>
    <row r="13559" spans="1:2" x14ac:dyDescent="0.25">
      <c r="A13559" s="57">
        <v>51191510</v>
      </c>
      <c r="B13559" s="58" t="s">
        <v>9517</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11032</v>
      </c>
    </row>
    <row r="13564" spans="1:2" x14ac:dyDescent="0.25">
      <c r="A13564" s="57">
        <v>51191515</v>
      </c>
      <c r="B13564" s="58" t="s">
        <v>11464</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12527</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10445</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13009</v>
      </c>
    </row>
    <row r="13600" spans="1:2" x14ac:dyDescent="0.25">
      <c r="A13600" s="57">
        <v>51201506</v>
      </c>
      <c r="B13600" s="58" t="s">
        <v>11741</v>
      </c>
    </row>
    <row r="13601" spans="1:2" x14ac:dyDescent="0.25">
      <c r="A13601" s="57">
        <v>51201507</v>
      </c>
      <c r="B13601" s="58" t="s">
        <v>10901</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10236</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12371</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12214</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10596</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10176</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13069</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11490</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11804</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12980</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11348</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10117</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10543</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12592</v>
      </c>
    </row>
    <row r="13678" spans="1:2" x14ac:dyDescent="0.25">
      <c r="A13678" s="57">
        <v>51211606</v>
      </c>
      <c r="B13678" s="58" t="s">
        <v>15046</v>
      </c>
    </row>
    <row r="13679" spans="1:2" x14ac:dyDescent="0.25">
      <c r="A13679" s="57">
        <v>51211607</v>
      </c>
      <c r="B13679" s="58" t="s">
        <v>12360</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9753</v>
      </c>
    </row>
    <row r="13686" spans="1:2" x14ac:dyDescent="0.25">
      <c r="A13686" s="57">
        <v>51211615</v>
      </c>
      <c r="B13686" s="58" t="s">
        <v>5146</v>
      </c>
    </row>
    <row r="13687" spans="1:2" x14ac:dyDescent="0.25">
      <c r="A13687" s="57">
        <v>51211616</v>
      </c>
      <c r="B13687" s="58" t="s">
        <v>10881</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10232</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10137</v>
      </c>
    </row>
    <row r="13697" spans="1:2" x14ac:dyDescent="0.25">
      <c r="A13697" s="57">
        <v>51211901</v>
      </c>
      <c r="B13697" s="58" t="s">
        <v>8504</v>
      </c>
    </row>
    <row r="13698" spans="1:2" x14ac:dyDescent="0.25">
      <c r="A13698" s="57">
        <v>51212001</v>
      </c>
      <c r="B13698" s="58" t="s">
        <v>14466</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11447</v>
      </c>
    </row>
    <row r="13703" spans="1:2" x14ac:dyDescent="0.25">
      <c r="A13703" s="57">
        <v>51212006</v>
      </c>
      <c r="B13703" s="58" t="s">
        <v>11493</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11469</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12591</v>
      </c>
    </row>
    <row r="13712" spans="1:2" x14ac:dyDescent="0.25">
      <c r="A13712" s="57">
        <v>51212015</v>
      </c>
      <c r="B13712" s="58" t="s">
        <v>13531</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12200</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9970</v>
      </c>
    </row>
    <row r="13739" spans="1:2" x14ac:dyDescent="0.25">
      <c r="A13739" s="57">
        <v>51212303</v>
      </c>
      <c r="B13739" s="58" t="s">
        <v>4913</v>
      </c>
    </row>
    <row r="13740" spans="1:2" x14ac:dyDescent="0.25">
      <c r="A13740" s="57">
        <v>51212304</v>
      </c>
      <c r="B13740" s="58" t="s">
        <v>10186</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11443</v>
      </c>
    </row>
    <row r="13755" spans="1:2" x14ac:dyDescent="0.25">
      <c r="A13755" s="57">
        <v>51241106</v>
      </c>
      <c r="B13755" s="58" t="s">
        <v>2289</v>
      </c>
    </row>
    <row r="13756" spans="1:2" x14ac:dyDescent="0.25">
      <c r="A13756" s="57">
        <v>51241107</v>
      </c>
      <c r="B13756" s="58" t="s">
        <v>12563</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11666</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12099</v>
      </c>
    </row>
    <row r="13767" spans="1:2" x14ac:dyDescent="0.25">
      <c r="A13767" s="57">
        <v>51241118</v>
      </c>
      <c r="B13767" s="58" t="s">
        <v>11073</v>
      </c>
    </row>
    <row r="13768" spans="1:2" x14ac:dyDescent="0.25">
      <c r="A13768" s="57">
        <v>51241119</v>
      </c>
      <c r="B13768" s="58" t="s">
        <v>17350</v>
      </c>
    </row>
    <row r="13769" spans="1:2" x14ac:dyDescent="0.25">
      <c r="A13769" s="57">
        <v>51241120</v>
      </c>
      <c r="B13769" s="58" t="s">
        <v>8940</v>
      </c>
    </row>
    <row r="13770" spans="1:2" x14ac:dyDescent="0.25">
      <c r="A13770" s="57">
        <v>51241201</v>
      </c>
      <c r="B13770" s="58" t="s">
        <v>10204</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9736</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5017</v>
      </c>
    </row>
    <row r="13786" spans="1:2" x14ac:dyDescent="0.25">
      <c r="A13786" s="57">
        <v>51241217</v>
      </c>
      <c r="B13786" s="58" t="s">
        <v>11216</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12775</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11705</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12245</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11131</v>
      </c>
    </row>
    <row r="13809" spans="1:2" x14ac:dyDescent="0.25">
      <c r="A13809" s="57">
        <v>52101505</v>
      </c>
      <c r="B13809" s="58" t="s">
        <v>2876</v>
      </c>
    </row>
    <row r="13810" spans="1:2" x14ac:dyDescent="0.25">
      <c r="A13810" s="57">
        <v>52101506</v>
      </c>
      <c r="B13810" s="58" t="s">
        <v>10540</v>
      </c>
    </row>
    <row r="13811" spans="1:2" x14ac:dyDescent="0.25">
      <c r="A13811" s="57">
        <v>52101507</v>
      </c>
      <c r="B13811" s="58" t="s">
        <v>5371</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11667</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12147</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12919</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10554</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13074</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10399</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11749</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11550</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10992</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13253</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11909</v>
      </c>
    </row>
    <row r="13894" spans="1:2" x14ac:dyDescent="0.25">
      <c r="A13894" s="57">
        <v>52141603</v>
      </c>
      <c r="B13894" s="58" t="s">
        <v>10506</v>
      </c>
    </row>
    <row r="13895" spans="1:2" x14ac:dyDescent="0.25">
      <c r="A13895" s="57">
        <v>52141604</v>
      </c>
      <c r="B13895" s="58" t="s">
        <v>12702</v>
      </c>
    </row>
    <row r="13896" spans="1:2" x14ac:dyDescent="0.25">
      <c r="A13896" s="57">
        <v>52141605</v>
      </c>
      <c r="B13896" s="58" t="s">
        <v>12222</v>
      </c>
    </row>
    <row r="13897" spans="1:2" x14ac:dyDescent="0.25">
      <c r="A13897" s="57">
        <v>52141606</v>
      </c>
      <c r="B13897" s="58" t="s">
        <v>9477</v>
      </c>
    </row>
    <row r="13898" spans="1:2" x14ac:dyDescent="0.25">
      <c r="A13898" s="57">
        <v>52141607</v>
      </c>
      <c r="B13898" s="58" t="s">
        <v>5879</v>
      </c>
    </row>
    <row r="13899" spans="1:2" x14ac:dyDescent="0.25">
      <c r="A13899" s="57">
        <v>52141608</v>
      </c>
      <c r="B13899" s="58" t="s">
        <v>11761</v>
      </c>
    </row>
    <row r="13900" spans="1:2" x14ac:dyDescent="0.25">
      <c r="A13900" s="57">
        <v>52141701</v>
      </c>
      <c r="B13900" s="58" t="s">
        <v>811</v>
      </c>
    </row>
    <row r="13901" spans="1:2" x14ac:dyDescent="0.25">
      <c r="A13901" s="57">
        <v>52141703</v>
      </c>
      <c r="B13901" s="58" t="s">
        <v>12928</v>
      </c>
    </row>
    <row r="13902" spans="1:2" x14ac:dyDescent="0.25">
      <c r="A13902" s="57">
        <v>52141704</v>
      </c>
      <c r="B13902" s="58" t="s">
        <v>12301</v>
      </c>
    </row>
    <row r="13903" spans="1:2" x14ac:dyDescent="0.25">
      <c r="A13903" s="57">
        <v>52141705</v>
      </c>
      <c r="B13903" s="58" t="s">
        <v>7166</v>
      </c>
    </row>
    <row r="13904" spans="1:2" x14ac:dyDescent="0.25">
      <c r="A13904" s="57">
        <v>52141706</v>
      </c>
      <c r="B13904" s="58" t="s">
        <v>12926</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11295</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12952</v>
      </c>
    </row>
    <row r="13917" spans="1:2" x14ac:dyDescent="0.25">
      <c r="A13917" s="57">
        <v>52151603</v>
      </c>
      <c r="B13917" s="58" t="s">
        <v>12161</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10392</v>
      </c>
    </row>
    <row r="13921" spans="1:2" x14ac:dyDescent="0.25">
      <c r="A13921" s="57">
        <v>52151607</v>
      </c>
      <c r="B13921" s="58" t="s">
        <v>9993</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10363</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12433</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12126</v>
      </c>
    </row>
    <row r="13939" spans="1:2" x14ac:dyDescent="0.25">
      <c r="A13939" s="57">
        <v>52151625</v>
      </c>
      <c r="B13939" s="58" t="s">
        <v>401</v>
      </c>
    </row>
    <row r="13940" spans="1:2" x14ac:dyDescent="0.25">
      <c r="A13940" s="57">
        <v>52151626</v>
      </c>
      <c r="B13940" s="58" t="s">
        <v>10599</v>
      </c>
    </row>
    <row r="13941" spans="1:2" x14ac:dyDescent="0.25">
      <c r="A13941" s="57">
        <v>52151627</v>
      </c>
      <c r="B13941" s="58" t="s">
        <v>11332</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10965</v>
      </c>
    </row>
    <row r="13948" spans="1:2" x14ac:dyDescent="0.25">
      <c r="A13948" s="57">
        <v>52151634</v>
      </c>
      <c r="B13948" s="58" t="s">
        <v>6038</v>
      </c>
    </row>
    <row r="13949" spans="1:2" x14ac:dyDescent="0.25">
      <c r="A13949" s="57">
        <v>52151635</v>
      </c>
      <c r="B13949" s="58" t="s">
        <v>5056</v>
      </c>
    </row>
    <row r="13950" spans="1:2" x14ac:dyDescent="0.25">
      <c r="A13950" s="57">
        <v>52151636</v>
      </c>
      <c r="B13950" s="58" t="s">
        <v>13717</v>
      </c>
    </row>
    <row r="13951" spans="1:2" x14ac:dyDescent="0.25">
      <c r="A13951" s="57">
        <v>52151637</v>
      </c>
      <c r="B13951" s="58" t="s">
        <v>12056</v>
      </c>
    </row>
    <row r="13952" spans="1:2" x14ac:dyDescent="0.25">
      <c r="A13952" s="57">
        <v>52151638</v>
      </c>
      <c r="B13952" s="58" t="s">
        <v>7257</v>
      </c>
    </row>
    <row r="13953" spans="1:2" x14ac:dyDescent="0.25">
      <c r="A13953" s="57">
        <v>52151639</v>
      </c>
      <c r="B13953" s="58" t="s">
        <v>11524</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15603</v>
      </c>
    </row>
    <row r="13960" spans="1:2" x14ac:dyDescent="0.25">
      <c r="A13960" s="57">
        <v>52151646</v>
      </c>
      <c r="B13960" s="58" t="s">
        <v>14181</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8659</v>
      </c>
    </row>
    <row r="13974" spans="1:2" x14ac:dyDescent="0.25">
      <c r="A13974" s="57">
        <v>52151801</v>
      </c>
      <c r="B13974" s="58" t="s">
        <v>9971</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10609</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6107</v>
      </c>
    </row>
    <row r="13984" spans="1:2" x14ac:dyDescent="0.25">
      <c r="A13984" s="57">
        <v>52151811</v>
      </c>
      <c r="B13984" s="58" t="s">
        <v>15963</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11787</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6106</v>
      </c>
    </row>
    <row r="13991" spans="1:2" x14ac:dyDescent="0.25">
      <c r="A13991" s="57">
        <v>52151905</v>
      </c>
      <c r="B13991" s="58" t="s">
        <v>8845</v>
      </c>
    </row>
    <row r="13992" spans="1:2" x14ac:dyDescent="0.25">
      <c r="A13992" s="57">
        <v>52151906</v>
      </c>
      <c r="B13992" s="58" t="s">
        <v>13223</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10275</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10514</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11363</v>
      </c>
    </row>
    <row r="14015" spans="1:2" x14ac:dyDescent="0.25">
      <c r="A14015" s="57">
        <v>52152104</v>
      </c>
      <c r="B14015" s="58" t="s">
        <v>10511</v>
      </c>
    </row>
    <row r="14016" spans="1:2" x14ac:dyDescent="0.25">
      <c r="A14016" s="57">
        <v>52152105</v>
      </c>
      <c r="B14016" s="58" t="s">
        <v>16624</v>
      </c>
    </row>
    <row r="14017" spans="1:2" x14ac:dyDescent="0.25">
      <c r="A14017" s="57">
        <v>52152201</v>
      </c>
      <c r="B14017" s="58" t="s">
        <v>10964</v>
      </c>
    </row>
    <row r="14018" spans="1:2" x14ac:dyDescent="0.25">
      <c r="A14018" s="57">
        <v>52152202</v>
      </c>
      <c r="B14018" s="58" t="s">
        <v>10799</v>
      </c>
    </row>
    <row r="14019" spans="1:2" x14ac:dyDescent="0.25">
      <c r="A14019" s="57">
        <v>52152203</v>
      </c>
      <c r="B14019" s="58" t="s">
        <v>14421</v>
      </c>
    </row>
    <row r="14020" spans="1:2" x14ac:dyDescent="0.25">
      <c r="A14020" s="57">
        <v>52161502</v>
      </c>
      <c r="B14020" s="58" t="s">
        <v>11298</v>
      </c>
    </row>
    <row r="14021" spans="1:2" x14ac:dyDescent="0.25">
      <c r="A14021" s="57">
        <v>52161505</v>
      </c>
      <c r="B14021" s="58" t="s">
        <v>10356</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11286</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12930</v>
      </c>
    </row>
    <row r="14030" spans="1:2" x14ac:dyDescent="0.25">
      <c r="A14030" s="57">
        <v>52161515</v>
      </c>
      <c r="B14030" s="58" t="s">
        <v>6391</v>
      </c>
    </row>
    <row r="14031" spans="1:2" x14ac:dyDescent="0.25">
      <c r="A14031" s="57">
        <v>52161516</v>
      </c>
      <c r="B14031" s="58" t="s">
        <v>10694</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10184</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10857</v>
      </c>
    </row>
    <row r="14038" spans="1:2" x14ac:dyDescent="0.25">
      <c r="A14038" s="57">
        <v>52161524</v>
      </c>
      <c r="B14038" s="58" t="s">
        <v>10384</v>
      </c>
    </row>
    <row r="14039" spans="1:2" x14ac:dyDescent="0.25">
      <c r="A14039" s="57">
        <v>52161525</v>
      </c>
      <c r="B14039" s="58" t="s">
        <v>18652</v>
      </c>
    </row>
    <row r="14040" spans="1:2" x14ac:dyDescent="0.25">
      <c r="A14040" s="57">
        <v>52161526</v>
      </c>
      <c r="B14040" s="58" t="s">
        <v>9889</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9638</v>
      </c>
    </row>
    <row r="14060" spans="1:2" x14ac:dyDescent="0.25">
      <c r="A14060" s="57">
        <v>52161604</v>
      </c>
      <c r="B14060" s="58" t="s">
        <v>6768</v>
      </c>
    </row>
    <row r="14061" spans="1:2" x14ac:dyDescent="0.25">
      <c r="A14061" s="57">
        <v>52171001</v>
      </c>
      <c r="B14061" s="58" t="s">
        <v>12866</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12512</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13144</v>
      </c>
    </row>
    <row r="14074" spans="1:2" x14ac:dyDescent="0.25">
      <c r="A14074" s="57">
        <v>53101703</v>
      </c>
      <c r="B14074" s="58" t="s">
        <v>13155</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12691</v>
      </c>
    </row>
    <row r="14078" spans="1:2" x14ac:dyDescent="0.25">
      <c r="A14078" s="57">
        <v>53101802</v>
      </c>
      <c r="B14078" s="58" t="s">
        <v>14329</v>
      </c>
    </row>
    <row r="14079" spans="1:2" x14ac:dyDescent="0.25">
      <c r="A14079" s="57">
        <v>53101803</v>
      </c>
      <c r="B14079" s="58" t="s">
        <v>12800</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12067</v>
      </c>
    </row>
    <row r="14083" spans="1:2" x14ac:dyDescent="0.25">
      <c r="A14083" s="57">
        <v>53101902</v>
      </c>
      <c r="B14083" s="58" t="s">
        <v>4467</v>
      </c>
    </row>
    <row r="14084" spans="1:2" x14ac:dyDescent="0.25">
      <c r="A14084" s="57">
        <v>53101903</v>
      </c>
      <c r="B14084" s="58" t="s">
        <v>13178</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14486</v>
      </c>
    </row>
    <row r="14089" spans="1:2" x14ac:dyDescent="0.25">
      <c r="A14089" s="57">
        <v>53102003</v>
      </c>
      <c r="B14089" s="58" t="s">
        <v>9571</v>
      </c>
    </row>
    <row r="14090" spans="1:2" x14ac:dyDescent="0.25">
      <c r="A14090" s="57">
        <v>53102101</v>
      </c>
      <c r="B14090" s="58" t="s">
        <v>9864</v>
      </c>
    </row>
    <row r="14091" spans="1:2" x14ac:dyDescent="0.25">
      <c r="A14091" s="57">
        <v>53102102</v>
      </c>
      <c r="B14091" s="58" t="s">
        <v>14440</v>
      </c>
    </row>
    <row r="14092" spans="1:2" x14ac:dyDescent="0.25">
      <c r="A14092" s="57">
        <v>53102103</v>
      </c>
      <c r="B14092" s="58" t="s">
        <v>10403</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11648</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11535</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11161</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12168</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11997</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5993</v>
      </c>
    </row>
    <row r="14148" spans="1:2" x14ac:dyDescent="0.25">
      <c r="A14148" s="57">
        <v>53102711</v>
      </c>
      <c r="B14148" s="58" t="s">
        <v>10457</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12715</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11732</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10467</v>
      </c>
    </row>
    <row r="14175" spans="1:2" x14ac:dyDescent="0.25">
      <c r="A14175" s="57">
        <v>53111705</v>
      </c>
      <c r="B14175" s="58" t="s">
        <v>14205</v>
      </c>
    </row>
    <row r="14176" spans="1:2" x14ac:dyDescent="0.25">
      <c r="A14176" s="57">
        <v>53111801</v>
      </c>
      <c r="B14176" s="58" t="s">
        <v>11919</v>
      </c>
    </row>
    <row r="14177" spans="1:2" x14ac:dyDescent="0.25">
      <c r="A14177" s="57">
        <v>53111802</v>
      </c>
      <c r="B14177" s="58" t="s">
        <v>10011</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10685</v>
      </c>
    </row>
    <row r="14184" spans="1:2" x14ac:dyDescent="0.25">
      <c r="A14184" s="57">
        <v>53111904</v>
      </c>
      <c r="B14184" s="58" t="s">
        <v>9891</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6174</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10742</v>
      </c>
    </row>
    <row r="14198" spans="1:2" x14ac:dyDescent="0.25">
      <c r="A14198" s="57">
        <v>53121503</v>
      </c>
      <c r="B14198" s="58" t="s">
        <v>13562</v>
      </c>
    </row>
    <row r="14199" spans="1:2" x14ac:dyDescent="0.25">
      <c r="A14199" s="57">
        <v>53121601</v>
      </c>
      <c r="B14199" s="58" t="s">
        <v>10808</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5961</v>
      </c>
    </row>
    <row r="14205" spans="1:2" x14ac:dyDescent="0.25">
      <c r="A14205" s="57">
        <v>53121608</v>
      </c>
      <c r="B14205" s="58" t="s">
        <v>8836</v>
      </c>
    </row>
    <row r="14206" spans="1:2" x14ac:dyDescent="0.25">
      <c r="A14206" s="57">
        <v>53121701</v>
      </c>
      <c r="B14206" s="58" t="s">
        <v>10567</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12372</v>
      </c>
    </row>
    <row r="14211" spans="1:2" x14ac:dyDescent="0.25">
      <c r="A14211" s="57">
        <v>53121801</v>
      </c>
      <c r="B14211" s="58" t="s">
        <v>9511</v>
      </c>
    </row>
    <row r="14212" spans="1:2" x14ac:dyDescent="0.25">
      <c r="A14212" s="57">
        <v>53121802</v>
      </c>
      <c r="B14212" s="58" t="s">
        <v>11563</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17832</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12091</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11375</v>
      </c>
    </row>
    <row r="14232" spans="1:2" x14ac:dyDescent="0.25">
      <c r="A14232" s="57">
        <v>53131609</v>
      </c>
      <c r="B14232" s="58" t="s">
        <v>5104</v>
      </c>
    </row>
    <row r="14233" spans="1:2" x14ac:dyDescent="0.25">
      <c r="A14233" s="57">
        <v>53131610</v>
      </c>
      <c r="B14233" s="58" t="s">
        <v>13778</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12428</v>
      </c>
    </row>
    <row r="14238" spans="1:2" x14ac:dyDescent="0.25">
      <c r="A14238" s="57">
        <v>53131615</v>
      </c>
      <c r="B14238" s="58" t="s">
        <v>11279</v>
      </c>
    </row>
    <row r="14239" spans="1:2" x14ac:dyDescent="0.25">
      <c r="A14239" s="57">
        <v>53131616</v>
      </c>
      <c r="B14239" s="58" t="s">
        <v>12714</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5839</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10955</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10720</v>
      </c>
    </row>
    <row r="14288" spans="1:2" x14ac:dyDescent="0.25">
      <c r="A14288" s="57">
        <v>53141619</v>
      </c>
      <c r="B14288" s="58" t="s">
        <v>16301</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11944</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12178</v>
      </c>
    </row>
    <row r="14297" spans="1:2" x14ac:dyDescent="0.25">
      <c r="A14297" s="57">
        <v>53141628</v>
      </c>
      <c r="B14297" s="58" t="s">
        <v>12309</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12060</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11886</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14288</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10963</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11762</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9858</v>
      </c>
    </row>
    <row r="14333" spans="1:2" x14ac:dyDescent="0.25">
      <c r="A14333" s="57">
        <v>54111705</v>
      </c>
      <c r="B14333" s="58" t="s">
        <v>5147</v>
      </c>
    </row>
    <row r="14334" spans="1:2" x14ac:dyDescent="0.25">
      <c r="A14334" s="57">
        <v>54111706</v>
      </c>
      <c r="B14334" s="58" t="s">
        <v>12019</v>
      </c>
    </row>
    <row r="14335" spans="1:2" x14ac:dyDescent="0.25">
      <c r="A14335" s="57">
        <v>54111707</v>
      </c>
      <c r="B14335" s="58" t="s">
        <v>4947</v>
      </c>
    </row>
    <row r="14336" spans="1:2" x14ac:dyDescent="0.25">
      <c r="A14336" s="57">
        <v>54111708</v>
      </c>
      <c r="B14336" s="58" t="s">
        <v>9948</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9735</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13066</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11985</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10767</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10140</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10533</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12456</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12306</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12012</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10518</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12716</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12185</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9862</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10592</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12939</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12430</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12897</v>
      </c>
    </row>
    <row r="14445" spans="1:2" x14ac:dyDescent="0.25">
      <c r="A14445" s="57">
        <v>55121731</v>
      </c>
      <c r="B14445" s="58" t="s">
        <v>8792</v>
      </c>
    </row>
    <row r="14446" spans="1:2" x14ac:dyDescent="0.25">
      <c r="A14446" s="57">
        <v>55121732</v>
      </c>
      <c r="B14446" s="58" t="s">
        <v>9624</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13156</v>
      </c>
    </row>
    <row r="14452" spans="1:2" x14ac:dyDescent="0.25">
      <c r="A14452" s="57">
        <v>55121807</v>
      </c>
      <c r="B14452" s="58" t="s">
        <v>6729</v>
      </c>
    </row>
    <row r="14453" spans="1:2" x14ac:dyDescent="0.25">
      <c r="A14453" s="57">
        <v>56101501</v>
      </c>
      <c r="B14453" s="58" t="s">
        <v>11387</v>
      </c>
    </row>
    <row r="14454" spans="1:2" x14ac:dyDescent="0.25">
      <c r="A14454" s="57">
        <v>56101502</v>
      </c>
      <c r="B14454" s="58" t="s">
        <v>13147</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16086</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10912</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11596</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11514</v>
      </c>
    </row>
    <row r="14479" spans="1:2" x14ac:dyDescent="0.25">
      <c r="A14479" s="57">
        <v>56101530</v>
      </c>
      <c r="B14479" s="58" t="s">
        <v>12025</v>
      </c>
    </row>
    <row r="14480" spans="1:2" x14ac:dyDescent="0.25">
      <c r="A14480" s="57">
        <v>56101531</v>
      </c>
      <c r="B14480" s="58" t="s">
        <v>10658</v>
      </c>
    </row>
    <row r="14481" spans="1:2" x14ac:dyDescent="0.25">
      <c r="A14481" s="57">
        <v>56101532</v>
      </c>
      <c r="B14481" s="58" t="s">
        <v>11912</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12511</v>
      </c>
    </row>
    <row r="14485" spans="1:2" x14ac:dyDescent="0.25">
      <c r="A14485" s="57">
        <v>56101537</v>
      </c>
      <c r="B14485" s="58" t="s">
        <v>8436</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10195</v>
      </c>
    </row>
    <row r="14489" spans="1:2" x14ac:dyDescent="0.25">
      <c r="A14489" s="57">
        <v>56101541</v>
      </c>
      <c r="B14489" s="58" t="s">
        <v>16553</v>
      </c>
    </row>
    <row r="14490" spans="1:2" x14ac:dyDescent="0.25">
      <c r="A14490" s="57">
        <v>56101601</v>
      </c>
      <c r="B14490" s="58" t="s">
        <v>10641</v>
      </c>
    </row>
    <row r="14491" spans="1:2" x14ac:dyDescent="0.25">
      <c r="A14491" s="57">
        <v>56101602</v>
      </c>
      <c r="B14491" s="58" t="s">
        <v>15759</v>
      </c>
    </row>
    <row r="14492" spans="1:2" x14ac:dyDescent="0.25">
      <c r="A14492" s="57">
        <v>56101603</v>
      </c>
      <c r="B14492" s="58" t="s">
        <v>10120</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8669</v>
      </c>
    </row>
    <row r="14497" spans="1:2" x14ac:dyDescent="0.25">
      <c r="A14497" s="57">
        <v>56101608</v>
      </c>
      <c r="B14497" s="58" t="s">
        <v>11413</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12486</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11403</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12977</v>
      </c>
    </row>
    <row r="14517" spans="1:2" x14ac:dyDescent="0.25">
      <c r="A14517" s="57">
        <v>56101806</v>
      </c>
      <c r="B14517" s="58" t="s">
        <v>11273</v>
      </c>
    </row>
    <row r="14518" spans="1:2" x14ac:dyDescent="0.25">
      <c r="A14518" s="57">
        <v>56101807</v>
      </c>
      <c r="B14518" s="58" t="s">
        <v>10936</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11646</v>
      </c>
    </row>
    <row r="14522" spans="1:2" x14ac:dyDescent="0.25">
      <c r="A14522" s="57">
        <v>56101811</v>
      </c>
      <c r="B14522" s="58" t="s">
        <v>9413</v>
      </c>
    </row>
    <row r="14523" spans="1:2" x14ac:dyDescent="0.25">
      <c r="A14523" s="57">
        <v>56101812</v>
      </c>
      <c r="B14523" s="58" t="s">
        <v>11823</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10022</v>
      </c>
    </row>
    <row r="14527" spans="1:2" x14ac:dyDescent="0.25">
      <c r="A14527" s="57">
        <v>56101903</v>
      </c>
      <c r="B14527" s="58" t="s">
        <v>14041</v>
      </c>
    </row>
    <row r="14528" spans="1:2" x14ac:dyDescent="0.25">
      <c r="A14528" s="57">
        <v>56101904</v>
      </c>
      <c r="B14528" s="58" t="s">
        <v>9691</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13304</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10532</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9818</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11181</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10081</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10504</v>
      </c>
    </row>
    <row r="14555" spans="1:2" x14ac:dyDescent="0.25">
      <c r="A14555" s="57">
        <v>56111704</v>
      </c>
      <c r="B14555" s="58" t="s">
        <v>18442</v>
      </c>
    </row>
    <row r="14556" spans="1:2" x14ac:dyDescent="0.25">
      <c r="A14556" s="57">
        <v>56111705</v>
      </c>
      <c r="B14556" s="58" t="s">
        <v>12181</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12608</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11726</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13051</v>
      </c>
    </row>
    <row r="14585" spans="1:2" x14ac:dyDescent="0.25">
      <c r="A14585" s="57">
        <v>56112110</v>
      </c>
      <c r="B14585" s="58" t="s">
        <v>13392</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12561</v>
      </c>
    </row>
    <row r="14589" spans="1:2" x14ac:dyDescent="0.25">
      <c r="A14589" s="57">
        <v>56121004</v>
      </c>
      <c r="B14589" s="58" t="s">
        <v>12216</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13122</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11733</v>
      </c>
    </row>
    <row r="14599" spans="1:2" x14ac:dyDescent="0.25">
      <c r="A14599" s="57">
        <v>56121101</v>
      </c>
      <c r="B14599" s="58" t="s">
        <v>10774</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14250</v>
      </c>
    </row>
    <row r="14609" spans="1:2" x14ac:dyDescent="0.25">
      <c r="A14609" s="57">
        <v>56121501</v>
      </c>
      <c r="B14609" s="58" t="s">
        <v>8982</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13040</v>
      </c>
    </row>
    <row r="14615" spans="1:2" x14ac:dyDescent="0.25">
      <c r="A14615" s="57">
        <v>56121507</v>
      </c>
      <c r="B14615" s="58" t="s">
        <v>12399</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6117</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10378</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18821</v>
      </c>
    </row>
    <row r="14631" spans="1:2" x14ac:dyDescent="0.25">
      <c r="A14631" s="57">
        <v>56121704</v>
      </c>
      <c r="B14631" s="58" t="s">
        <v>10193</v>
      </c>
    </row>
    <row r="14632" spans="1:2" x14ac:dyDescent="0.25">
      <c r="A14632" s="57">
        <v>56121801</v>
      </c>
      <c r="B14632" s="58" t="s">
        <v>11013</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11991</v>
      </c>
    </row>
    <row r="14637" spans="1:2" x14ac:dyDescent="0.25">
      <c r="A14637" s="57">
        <v>56121901</v>
      </c>
      <c r="B14637" s="58" t="s">
        <v>3191</v>
      </c>
    </row>
    <row r="14638" spans="1:2" x14ac:dyDescent="0.25">
      <c r="A14638" s="57">
        <v>56122001</v>
      </c>
      <c r="B14638" s="58" t="s">
        <v>9911</v>
      </c>
    </row>
    <row r="14639" spans="1:2" x14ac:dyDescent="0.25">
      <c r="A14639" s="57">
        <v>56122002</v>
      </c>
      <c r="B14639" s="58" t="s">
        <v>18399</v>
      </c>
    </row>
    <row r="14640" spans="1:2" x14ac:dyDescent="0.25">
      <c r="A14640" s="57">
        <v>56122003</v>
      </c>
      <c r="B14640" s="58" t="s">
        <v>12539</v>
      </c>
    </row>
    <row r="14641" spans="1:2" x14ac:dyDescent="0.25">
      <c r="A14641" s="57">
        <v>56122004</v>
      </c>
      <c r="B14641" s="58" t="s">
        <v>6016</v>
      </c>
    </row>
    <row r="14642" spans="1:2" x14ac:dyDescent="0.25">
      <c r="A14642" s="57">
        <v>60101001</v>
      </c>
      <c r="B14642" s="58" t="s">
        <v>9498</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10753</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12300</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17645</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12912</v>
      </c>
    </row>
    <row r="14672" spans="1:2" x14ac:dyDescent="0.25">
      <c r="A14672" s="57">
        <v>60101313</v>
      </c>
      <c r="B14672" s="58" t="s">
        <v>9456</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13094</v>
      </c>
    </row>
    <row r="14676" spans="1:2" x14ac:dyDescent="0.25">
      <c r="A14676" s="57">
        <v>60101317</v>
      </c>
      <c r="B14676" s="58" t="s">
        <v>3110</v>
      </c>
    </row>
    <row r="14677" spans="1:2" x14ac:dyDescent="0.25">
      <c r="A14677" s="57">
        <v>60101318</v>
      </c>
      <c r="B14677" s="58" t="s">
        <v>11066</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12555</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10422</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13250</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11376</v>
      </c>
    </row>
    <row r="14707" spans="1:2" x14ac:dyDescent="0.25">
      <c r="A14707" s="57">
        <v>60101702</v>
      </c>
      <c r="B14707" s="58" t="s">
        <v>1697</v>
      </c>
    </row>
    <row r="14708" spans="1:2" x14ac:dyDescent="0.25">
      <c r="A14708" s="57">
        <v>60101703</v>
      </c>
      <c r="B14708" s="58" t="s">
        <v>9646</v>
      </c>
    </row>
    <row r="14709" spans="1:2" x14ac:dyDescent="0.25">
      <c r="A14709" s="57">
        <v>60101704</v>
      </c>
      <c r="B14709" s="58" t="s">
        <v>9513</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13016</v>
      </c>
    </row>
    <row r="14713" spans="1:2" x14ac:dyDescent="0.25">
      <c r="A14713" s="57">
        <v>60101708</v>
      </c>
      <c r="B14713" s="58" t="s">
        <v>14742</v>
      </c>
    </row>
    <row r="14714" spans="1:2" x14ac:dyDescent="0.25">
      <c r="A14714" s="57">
        <v>60101709</v>
      </c>
      <c r="B14714" s="58" t="s">
        <v>8847</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10728</v>
      </c>
    </row>
    <row r="14718" spans="1:2" x14ac:dyDescent="0.25">
      <c r="A14718" s="57">
        <v>60101713</v>
      </c>
      <c r="B14718" s="58" t="s">
        <v>16974</v>
      </c>
    </row>
    <row r="14719" spans="1:2" x14ac:dyDescent="0.25">
      <c r="A14719" s="57">
        <v>60101714</v>
      </c>
      <c r="B14719" s="58" t="s">
        <v>12492</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10934</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13820</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12472</v>
      </c>
    </row>
    <row r="14742" spans="1:2" x14ac:dyDescent="0.25">
      <c r="A14742" s="57">
        <v>60101805</v>
      </c>
      <c r="B14742" s="58" t="s">
        <v>8049</v>
      </c>
    </row>
    <row r="14743" spans="1:2" x14ac:dyDescent="0.25">
      <c r="A14743" s="57">
        <v>60101806</v>
      </c>
      <c r="B14743" s="58" t="s">
        <v>9750</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10859</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10553</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5187</v>
      </c>
    </row>
    <row r="14776" spans="1:2" x14ac:dyDescent="0.25">
      <c r="A14776" s="57">
        <v>60102204</v>
      </c>
      <c r="B14776" s="58" t="s">
        <v>14100</v>
      </c>
    </row>
    <row r="14777" spans="1:2" x14ac:dyDescent="0.25">
      <c r="A14777" s="57">
        <v>60102205</v>
      </c>
      <c r="B14777" s="58" t="s">
        <v>4922</v>
      </c>
    </row>
    <row r="14778" spans="1:2" x14ac:dyDescent="0.25">
      <c r="A14778" s="57">
        <v>60102206</v>
      </c>
      <c r="B14778" s="58" t="s">
        <v>10018</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14123</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12471</v>
      </c>
    </row>
    <row r="14785" spans="1:2" x14ac:dyDescent="0.25">
      <c r="A14785" s="57">
        <v>60102307</v>
      </c>
      <c r="B14785" s="58" t="s">
        <v>10868</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10657</v>
      </c>
    </row>
    <row r="14797" spans="1:2" x14ac:dyDescent="0.25">
      <c r="A14797" s="57">
        <v>60102407</v>
      </c>
      <c r="B14797" s="58" t="s">
        <v>13063</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9812</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8868</v>
      </c>
    </row>
    <row r="14807" spans="1:2" x14ac:dyDescent="0.25">
      <c r="A14807" s="57">
        <v>60102503</v>
      </c>
      <c r="B14807" s="58" t="s">
        <v>6042</v>
      </c>
    </row>
    <row r="14808" spans="1:2" x14ac:dyDescent="0.25">
      <c r="A14808" s="57">
        <v>60102504</v>
      </c>
      <c r="B14808" s="58" t="s">
        <v>5739</v>
      </c>
    </row>
    <row r="14809" spans="1:2" x14ac:dyDescent="0.25">
      <c r="A14809" s="57">
        <v>60102505</v>
      </c>
      <c r="B14809" s="58" t="s">
        <v>11910</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10340</v>
      </c>
    </row>
    <row r="14815" spans="1:2" x14ac:dyDescent="0.25">
      <c r="A14815" s="57">
        <v>60102511</v>
      </c>
      <c r="B14815" s="58" t="s">
        <v>11394</v>
      </c>
    </row>
    <row r="14816" spans="1:2" x14ac:dyDescent="0.25">
      <c r="A14816" s="57">
        <v>60102512</v>
      </c>
      <c r="B14816" s="58" t="s">
        <v>11779</v>
      </c>
    </row>
    <row r="14817" spans="1:2" x14ac:dyDescent="0.25">
      <c r="A14817" s="57">
        <v>60102513</v>
      </c>
      <c r="B14817" s="58" t="s">
        <v>9084</v>
      </c>
    </row>
    <row r="14818" spans="1:2" x14ac:dyDescent="0.25">
      <c r="A14818" s="57">
        <v>60102601</v>
      </c>
      <c r="B14818" s="58" t="s">
        <v>13382</v>
      </c>
    </row>
    <row r="14819" spans="1:2" x14ac:dyDescent="0.25">
      <c r="A14819" s="57">
        <v>60102602</v>
      </c>
      <c r="B14819" s="58" t="s">
        <v>14790</v>
      </c>
    </row>
    <row r="14820" spans="1:2" x14ac:dyDescent="0.25">
      <c r="A14820" s="57">
        <v>60102603</v>
      </c>
      <c r="B14820" s="58" t="s">
        <v>5933</v>
      </c>
    </row>
    <row r="14821" spans="1:2" x14ac:dyDescent="0.25">
      <c r="A14821" s="57">
        <v>60102604</v>
      </c>
      <c r="B14821" s="58" t="s">
        <v>12534</v>
      </c>
    </row>
    <row r="14822" spans="1:2" x14ac:dyDescent="0.25">
      <c r="A14822" s="57">
        <v>60102605</v>
      </c>
      <c r="B14822" s="58" t="s">
        <v>6936</v>
      </c>
    </row>
    <row r="14823" spans="1:2" x14ac:dyDescent="0.25">
      <c r="A14823" s="57">
        <v>60102606</v>
      </c>
      <c r="B14823" s="58" t="s">
        <v>12083</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11755</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11186</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12323</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11190</v>
      </c>
    </row>
    <row r="14844" spans="1:2" x14ac:dyDescent="0.25">
      <c r="A14844" s="57">
        <v>60102713</v>
      </c>
      <c r="B14844" s="58" t="s">
        <v>5797</v>
      </c>
    </row>
    <row r="14845" spans="1:2" x14ac:dyDescent="0.25">
      <c r="A14845" s="57">
        <v>60102714</v>
      </c>
      <c r="B14845" s="58" t="s">
        <v>13037</v>
      </c>
    </row>
    <row r="14846" spans="1:2" x14ac:dyDescent="0.25">
      <c r="A14846" s="57">
        <v>60102715</v>
      </c>
      <c r="B14846" s="58" t="s">
        <v>11496</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9838</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10530</v>
      </c>
    </row>
    <row r="14855" spans="1:2" x14ac:dyDescent="0.25">
      <c r="A14855" s="57">
        <v>60102807</v>
      </c>
      <c r="B14855" s="58" t="s">
        <v>15703</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13437</v>
      </c>
    </row>
    <row r="14861" spans="1:2" x14ac:dyDescent="0.25">
      <c r="A14861" s="57">
        <v>60102906</v>
      </c>
      <c r="B14861" s="58" t="s">
        <v>15937</v>
      </c>
    </row>
    <row r="14862" spans="1:2" x14ac:dyDescent="0.25">
      <c r="A14862" s="57">
        <v>60102907</v>
      </c>
      <c r="B14862" s="58" t="s">
        <v>12272</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12211</v>
      </c>
    </row>
    <row r="14866" spans="1:2" x14ac:dyDescent="0.25">
      <c r="A14866" s="57">
        <v>60102911</v>
      </c>
      <c r="B14866" s="58" t="s">
        <v>15360</v>
      </c>
    </row>
    <row r="14867" spans="1:2" x14ac:dyDescent="0.25">
      <c r="A14867" s="57">
        <v>60102912</v>
      </c>
      <c r="B14867" s="58" t="s">
        <v>11544</v>
      </c>
    </row>
    <row r="14868" spans="1:2" x14ac:dyDescent="0.25">
      <c r="A14868" s="57">
        <v>60102913</v>
      </c>
      <c r="B14868" s="58" t="s">
        <v>2027</v>
      </c>
    </row>
    <row r="14869" spans="1:2" x14ac:dyDescent="0.25">
      <c r="A14869" s="57">
        <v>60102914</v>
      </c>
      <c r="B14869" s="58" t="s">
        <v>12992</v>
      </c>
    </row>
    <row r="14870" spans="1:2" x14ac:dyDescent="0.25">
      <c r="A14870" s="57">
        <v>60102915</v>
      </c>
      <c r="B14870" s="58" t="s">
        <v>12883</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11617</v>
      </c>
    </row>
    <row r="14875" spans="1:2" x14ac:dyDescent="0.25">
      <c r="A14875" s="57">
        <v>60103003</v>
      </c>
      <c r="B14875" s="58" t="s">
        <v>10449</v>
      </c>
    </row>
    <row r="14876" spans="1:2" x14ac:dyDescent="0.25">
      <c r="A14876" s="57">
        <v>60103004</v>
      </c>
      <c r="B14876" s="58" t="s">
        <v>9069</v>
      </c>
    </row>
    <row r="14877" spans="1:2" x14ac:dyDescent="0.25">
      <c r="A14877" s="57">
        <v>60103005</v>
      </c>
      <c r="B14877" s="58" t="s">
        <v>6032</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8880</v>
      </c>
    </row>
    <row r="14884" spans="1:2" x14ac:dyDescent="0.25">
      <c r="A14884" s="57">
        <v>60103013</v>
      </c>
      <c r="B14884" s="58" t="s">
        <v>9914</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10770</v>
      </c>
    </row>
    <row r="14895" spans="1:2" x14ac:dyDescent="0.25">
      <c r="A14895" s="57">
        <v>60103111</v>
      </c>
      <c r="B14895" s="58" t="s">
        <v>17087</v>
      </c>
    </row>
    <row r="14896" spans="1:2" x14ac:dyDescent="0.25">
      <c r="A14896" s="57">
        <v>60103112</v>
      </c>
      <c r="B14896" s="58" t="s">
        <v>14393</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12280</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11901</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15320</v>
      </c>
    </row>
    <row r="14916" spans="1:2" x14ac:dyDescent="0.25">
      <c r="A14916" s="57">
        <v>60103503</v>
      </c>
      <c r="B14916" s="58" t="s">
        <v>12258</v>
      </c>
    </row>
    <row r="14917" spans="1:2" x14ac:dyDescent="0.25">
      <c r="A14917" s="57">
        <v>60103504</v>
      </c>
      <c r="B14917" s="58" t="s">
        <v>13317</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11803</v>
      </c>
    </row>
    <row r="14921" spans="1:2" x14ac:dyDescent="0.25">
      <c r="A14921" s="57">
        <v>60103604</v>
      </c>
      <c r="B14921" s="58" t="s">
        <v>11307</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9689</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13061</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17825</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14375</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11827</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13053</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14200</v>
      </c>
    </row>
    <row r="14976" spans="1:2" x14ac:dyDescent="0.25">
      <c r="A14976" s="57">
        <v>60104102</v>
      </c>
      <c r="B14976" s="58" t="s">
        <v>12153</v>
      </c>
    </row>
    <row r="14977" spans="1:2" x14ac:dyDescent="0.25">
      <c r="A14977" s="57">
        <v>60104103</v>
      </c>
      <c r="B14977" s="58" t="s">
        <v>7660</v>
      </c>
    </row>
    <row r="14978" spans="1:2" x14ac:dyDescent="0.25">
      <c r="A14978" s="57">
        <v>60104104</v>
      </c>
      <c r="B14978" s="58" t="s">
        <v>17855</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10051</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5853</v>
      </c>
    </row>
    <row r="15000" spans="1:2" x14ac:dyDescent="0.25">
      <c r="A15000" s="57">
        <v>60104504</v>
      </c>
      <c r="B15000" s="58" t="s">
        <v>12499</v>
      </c>
    </row>
    <row r="15001" spans="1:2" x14ac:dyDescent="0.25">
      <c r="A15001" s="57">
        <v>60104505</v>
      </c>
      <c r="B15001" s="58" t="s">
        <v>5486</v>
      </c>
    </row>
    <row r="15002" spans="1:2" x14ac:dyDescent="0.25">
      <c r="A15002" s="57">
        <v>60104506</v>
      </c>
      <c r="B15002" s="58" t="s">
        <v>10583</v>
      </c>
    </row>
    <row r="15003" spans="1:2" x14ac:dyDescent="0.25">
      <c r="A15003" s="57">
        <v>60104507</v>
      </c>
      <c r="B15003" s="58" t="s">
        <v>9045</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11268</v>
      </c>
    </row>
    <row r="15007" spans="1:2" x14ac:dyDescent="0.25">
      <c r="A15007" s="57">
        <v>60104601</v>
      </c>
      <c r="B15007" s="58" t="s">
        <v>9852</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10347</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14445</v>
      </c>
    </row>
    <row r="15056" spans="1:2" x14ac:dyDescent="0.25">
      <c r="A15056" s="57">
        <v>60105003</v>
      </c>
      <c r="B15056" s="58" t="s">
        <v>12848</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10998</v>
      </c>
    </row>
    <row r="15064" spans="1:2" x14ac:dyDescent="0.25">
      <c r="A15064" s="57">
        <v>60105201</v>
      </c>
      <c r="B15064" s="58" t="s">
        <v>16783</v>
      </c>
    </row>
    <row r="15065" spans="1:2" x14ac:dyDescent="0.25">
      <c r="A15065" s="57">
        <v>60105202</v>
      </c>
      <c r="B15065" s="58" t="s">
        <v>10297</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12676</v>
      </c>
    </row>
    <row r="15070" spans="1:2" x14ac:dyDescent="0.25">
      <c r="A15070" s="57">
        <v>60105304</v>
      </c>
      <c r="B15070" s="58" t="s">
        <v>11215</v>
      </c>
    </row>
    <row r="15071" spans="1:2" x14ac:dyDescent="0.25">
      <c r="A15071" s="57">
        <v>60105305</v>
      </c>
      <c r="B15071" s="58" t="s">
        <v>11399</v>
      </c>
    </row>
    <row r="15072" spans="1:2" x14ac:dyDescent="0.25">
      <c r="A15072" s="57">
        <v>60105306</v>
      </c>
      <c r="B15072" s="58" t="s">
        <v>10885</v>
      </c>
    </row>
    <row r="15073" spans="1:2" x14ac:dyDescent="0.25">
      <c r="A15073" s="57">
        <v>60105307</v>
      </c>
      <c r="B15073" s="58" t="s">
        <v>18788</v>
      </c>
    </row>
    <row r="15074" spans="1:2" x14ac:dyDescent="0.25">
      <c r="A15074" s="57">
        <v>60105308</v>
      </c>
      <c r="B15074" s="58" t="s">
        <v>12597</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11500</v>
      </c>
    </row>
    <row r="15079" spans="1:2" x14ac:dyDescent="0.25">
      <c r="A15079" s="57">
        <v>60105404</v>
      </c>
      <c r="B15079" s="58" t="s">
        <v>11781</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14229</v>
      </c>
    </row>
    <row r="15083" spans="1:2" x14ac:dyDescent="0.25">
      <c r="A15083" s="57">
        <v>60105408</v>
      </c>
      <c r="B15083" s="58" t="s">
        <v>10194</v>
      </c>
    </row>
    <row r="15084" spans="1:2" x14ac:dyDescent="0.25">
      <c r="A15084" s="57">
        <v>60105409</v>
      </c>
      <c r="B15084" s="58" t="s">
        <v>11609</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11217</v>
      </c>
    </row>
    <row r="15090" spans="1:2" x14ac:dyDescent="0.25">
      <c r="A15090" s="57">
        <v>60105415</v>
      </c>
      <c r="B15090" s="58" t="s">
        <v>4771</v>
      </c>
    </row>
    <row r="15091" spans="1:2" x14ac:dyDescent="0.25">
      <c r="A15091" s="57">
        <v>60105416</v>
      </c>
      <c r="B15091" s="58" t="s">
        <v>10387</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12923</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6129</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13011</v>
      </c>
    </row>
    <row r="15112" spans="1:2" x14ac:dyDescent="0.25">
      <c r="A15112" s="57">
        <v>60105603</v>
      </c>
      <c r="B15112" s="58" t="s">
        <v>9469</v>
      </c>
    </row>
    <row r="15113" spans="1:2" x14ac:dyDescent="0.25">
      <c r="A15113" s="57">
        <v>60105604</v>
      </c>
      <c r="B15113" s="58" t="s">
        <v>17889</v>
      </c>
    </row>
    <row r="15114" spans="1:2" x14ac:dyDescent="0.25">
      <c r="A15114" s="57">
        <v>60105605</v>
      </c>
      <c r="B15114" s="58" t="s">
        <v>11903</v>
      </c>
    </row>
    <row r="15115" spans="1:2" x14ac:dyDescent="0.25">
      <c r="A15115" s="57">
        <v>60105606</v>
      </c>
      <c r="B15115" s="58" t="s">
        <v>11844</v>
      </c>
    </row>
    <row r="15116" spans="1:2" x14ac:dyDescent="0.25">
      <c r="A15116" s="57">
        <v>60105607</v>
      </c>
      <c r="B15116" s="58" t="s">
        <v>5936</v>
      </c>
    </row>
    <row r="15117" spans="1:2" x14ac:dyDescent="0.25">
      <c r="A15117" s="57">
        <v>60105608</v>
      </c>
      <c r="B15117" s="58" t="s">
        <v>11336</v>
      </c>
    </row>
    <row r="15118" spans="1:2" x14ac:dyDescent="0.25">
      <c r="A15118" s="57">
        <v>60105609</v>
      </c>
      <c r="B15118" s="58" t="s">
        <v>3116</v>
      </c>
    </row>
    <row r="15119" spans="1:2" x14ac:dyDescent="0.25">
      <c r="A15119" s="57">
        <v>60105610</v>
      </c>
      <c r="B15119" s="58" t="s">
        <v>11843</v>
      </c>
    </row>
    <row r="15120" spans="1:2" x14ac:dyDescent="0.25">
      <c r="A15120" s="57">
        <v>60105611</v>
      </c>
      <c r="B15120" s="58" t="s">
        <v>12892</v>
      </c>
    </row>
    <row r="15121" spans="1:2" x14ac:dyDescent="0.25">
      <c r="A15121" s="57">
        <v>60105612</v>
      </c>
      <c r="B15121" s="58" t="s">
        <v>5292</v>
      </c>
    </row>
    <row r="15122" spans="1:2" x14ac:dyDescent="0.25">
      <c r="A15122" s="57">
        <v>60105613</v>
      </c>
      <c r="B15122" s="58" t="s">
        <v>9896</v>
      </c>
    </row>
    <row r="15123" spans="1:2" x14ac:dyDescent="0.25">
      <c r="A15123" s="57">
        <v>60105614</v>
      </c>
      <c r="B15123" s="58" t="s">
        <v>10289</v>
      </c>
    </row>
    <row r="15124" spans="1:2" x14ac:dyDescent="0.25">
      <c r="A15124" s="57">
        <v>60105615</v>
      </c>
      <c r="B15124" s="58" t="s">
        <v>1022</v>
      </c>
    </row>
    <row r="15125" spans="1:2" x14ac:dyDescent="0.25">
      <c r="A15125" s="57">
        <v>60105616</v>
      </c>
      <c r="B15125" s="58" t="s">
        <v>12387</v>
      </c>
    </row>
    <row r="15126" spans="1:2" x14ac:dyDescent="0.25">
      <c r="A15126" s="57">
        <v>60105617</v>
      </c>
      <c r="B15126" s="58" t="s">
        <v>5271</v>
      </c>
    </row>
    <row r="15127" spans="1:2" x14ac:dyDescent="0.25">
      <c r="A15127" s="57">
        <v>60105618</v>
      </c>
      <c r="B15127" s="58" t="s">
        <v>10441</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10033</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10486</v>
      </c>
    </row>
    <row r="15146" spans="1:2" x14ac:dyDescent="0.25">
      <c r="A15146" s="57">
        <v>60105806</v>
      </c>
      <c r="B15146" s="58" t="s">
        <v>13082</v>
      </c>
    </row>
    <row r="15147" spans="1:2" x14ac:dyDescent="0.25">
      <c r="A15147" s="57">
        <v>60105807</v>
      </c>
      <c r="B15147" s="58" t="s">
        <v>1742</v>
      </c>
    </row>
    <row r="15148" spans="1:2" x14ac:dyDescent="0.25">
      <c r="A15148" s="57">
        <v>60105808</v>
      </c>
      <c r="B15148" s="58" t="s">
        <v>10933</v>
      </c>
    </row>
    <row r="15149" spans="1:2" x14ac:dyDescent="0.25">
      <c r="A15149" s="57">
        <v>60105809</v>
      </c>
      <c r="B15149" s="58" t="s">
        <v>332</v>
      </c>
    </row>
    <row r="15150" spans="1:2" x14ac:dyDescent="0.25">
      <c r="A15150" s="57">
        <v>60105810</v>
      </c>
      <c r="B15150" s="58" t="s">
        <v>9656</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14246</v>
      </c>
    </row>
    <row r="15158" spans="1:2" x14ac:dyDescent="0.25">
      <c r="A15158" s="57">
        <v>60105907</v>
      </c>
      <c r="B15158" s="58" t="s">
        <v>11208</v>
      </c>
    </row>
    <row r="15159" spans="1:2" x14ac:dyDescent="0.25">
      <c r="A15159" s="57">
        <v>60105908</v>
      </c>
      <c r="B15159" s="58" t="s">
        <v>9863</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10390</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12513</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9913</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5210</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11125</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10578</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10213</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9775</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9737</v>
      </c>
    </row>
    <row r="15284" spans="1:2" x14ac:dyDescent="0.25">
      <c r="A15284" s="57">
        <v>60121133</v>
      </c>
      <c r="B15284" s="58" t="s">
        <v>12759</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14222</v>
      </c>
    </row>
    <row r="15288" spans="1:2" x14ac:dyDescent="0.25">
      <c r="A15288" s="57">
        <v>60121137</v>
      </c>
      <c r="B15288" s="58" t="s">
        <v>11653</v>
      </c>
    </row>
    <row r="15289" spans="1:2" x14ac:dyDescent="0.25">
      <c r="A15289" s="57">
        <v>60121138</v>
      </c>
      <c r="B15289" s="58" t="s">
        <v>6277</v>
      </c>
    </row>
    <row r="15290" spans="1:2" x14ac:dyDescent="0.25">
      <c r="A15290" s="57">
        <v>60121139</v>
      </c>
      <c r="B15290" s="58" t="s">
        <v>10459</v>
      </c>
    </row>
    <row r="15291" spans="1:2" x14ac:dyDescent="0.25">
      <c r="A15291" s="57">
        <v>60121140</v>
      </c>
      <c r="B15291" s="58" t="s">
        <v>7446</v>
      </c>
    </row>
    <row r="15292" spans="1:2" x14ac:dyDescent="0.25">
      <c r="A15292" s="57">
        <v>60121141</v>
      </c>
      <c r="B15292" s="58" t="s">
        <v>13467</v>
      </c>
    </row>
    <row r="15293" spans="1:2" x14ac:dyDescent="0.25">
      <c r="A15293" s="57">
        <v>60121142</v>
      </c>
      <c r="B15293" s="58" t="s">
        <v>5303</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11748</v>
      </c>
    </row>
    <row r="15310" spans="1:2" x14ac:dyDescent="0.25">
      <c r="A15310" s="57">
        <v>60121206</v>
      </c>
      <c r="B15310" s="58" t="s">
        <v>17007</v>
      </c>
    </row>
    <row r="15311" spans="1:2" x14ac:dyDescent="0.25">
      <c r="A15311" s="57">
        <v>60121207</v>
      </c>
      <c r="B15311" s="58" t="s">
        <v>10238</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10161</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12104</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15392</v>
      </c>
    </row>
    <row r="15325" spans="1:2" x14ac:dyDescent="0.25">
      <c r="A15325" s="57">
        <v>60121221</v>
      </c>
      <c r="B15325" s="58" t="s">
        <v>14340</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12957</v>
      </c>
    </row>
    <row r="15331" spans="1:2" x14ac:dyDescent="0.25">
      <c r="A15331" s="57">
        <v>60121227</v>
      </c>
      <c r="B15331" s="58" t="s">
        <v>14802</v>
      </c>
    </row>
    <row r="15332" spans="1:2" x14ac:dyDescent="0.25">
      <c r="A15332" s="57">
        <v>60121228</v>
      </c>
      <c r="B15332" s="58" t="s">
        <v>9949</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11523</v>
      </c>
    </row>
    <row r="15336" spans="1:2" x14ac:dyDescent="0.25">
      <c r="A15336" s="57">
        <v>60121232</v>
      </c>
      <c r="B15336" s="58" t="s">
        <v>11099</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8618</v>
      </c>
    </row>
    <row r="15341" spans="1:2" x14ac:dyDescent="0.25">
      <c r="A15341" s="57">
        <v>60121237</v>
      </c>
      <c r="B15341" s="58" t="s">
        <v>13981</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10725</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11269</v>
      </c>
    </row>
    <row r="15351" spans="1:2" x14ac:dyDescent="0.25">
      <c r="A15351" s="57">
        <v>60121248</v>
      </c>
      <c r="B15351" s="58" t="s">
        <v>17508</v>
      </c>
    </row>
    <row r="15352" spans="1:2" x14ac:dyDescent="0.25">
      <c r="A15352" s="57">
        <v>60121249</v>
      </c>
      <c r="B15352" s="58" t="s">
        <v>8461</v>
      </c>
    </row>
    <row r="15353" spans="1:2" x14ac:dyDescent="0.25">
      <c r="A15353" s="57">
        <v>60121250</v>
      </c>
      <c r="B15353" s="58" t="s">
        <v>10714</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11087</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10394</v>
      </c>
    </row>
    <row r="15371" spans="1:2" x14ac:dyDescent="0.25">
      <c r="A15371" s="57">
        <v>60121409</v>
      </c>
      <c r="B15371" s="58" t="s">
        <v>969</v>
      </c>
    </row>
    <row r="15372" spans="1:2" x14ac:dyDescent="0.25">
      <c r="A15372" s="57">
        <v>60121410</v>
      </c>
      <c r="B15372" s="58" t="s">
        <v>12087</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10461</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11940</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11923</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5701</v>
      </c>
    </row>
    <row r="15400" spans="1:2" x14ac:dyDescent="0.25">
      <c r="A15400" s="57">
        <v>60121523</v>
      </c>
      <c r="B15400" s="58" t="s">
        <v>18731</v>
      </c>
    </row>
    <row r="15401" spans="1:2" x14ac:dyDescent="0.25">
      <c r="A15401" s="57">
        <v>60121524</v>
      </c>
      <c r="B15401" s="58" t="s">
        <v>12576</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10354</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12361</v>
      </c>
    </row>
    <row r="15419" spans="1:2" x14ac:dyDescent="0.25">
      <c r="A15419" s="57">
        <v>60121606</v>
      </c>
      <c r="B15419" s="58" t="s">
        <v>17861</v>
      </c>
    </row>
    <row r="15420" spans="1:2" x14ac:dyDescent="0.25">
      <c r="A15420" s="57">
        <v>60121701</v>
      </c>
      <c r="B15420" s="58" t="s">
        <v>12110</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13901</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14184</v>
      </c>
    </row>
    <row r="15432" spans="1:2" x14ac:dyDescent="0.25">
      <c r="A15432" s="57">
        <v>60121713</v>
      </c>
      <c r="B15432" s="58" t="s">
        <v>10326</v>
      </c>
    </row>
    <row r="15433" spans="1:2" x14ac:dyDescent="0.25">
      <c r="A15433" s="57">
        <v>60121714</v>
      </c>
      <c r="B15433" s="58" t="s">
        <v>1737</v>
      </c>
    </row>
    <row r="15434" spans="1:2" x14ac:dyDescent="0.25">
      <c r="A15434" s="57">
        <v>60121715</v>
      </c>
      <c r="B15434" s="58" t="s">
        <v>12353</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11549</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11868</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13128</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12154</v>
      </c>
    </row>
    <row r="15464" spans="1:2" x14ac:dyDescent="0.25">
      <c r="A15464" s="57">
        <v>60122002</v>
      </c>
      <c r="B15464" s="58" t="s">
        <v>10060</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11005</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13200</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12635</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10744</v>
      </c>
    </row>
    <row r="15518" spans="1:2" x14ac:dyDescent="0.25">
      <c r="A15518" s="57">
        <v>60123204</v>
      </c>
      <c r="B15518" s="58" t="s">
        <v>13788</v>
      </c>
    </row>
    <row r="15519" spans="1:2" x14ac:dyDescent="0.25">
      <c r="A15519" s="57">
        <v>60123301</v>
      </c>
      <c r="B15519" s="58" t="s">
        <v>15510</v>
      </c>
    </row>
    <row r="15520" spans="1:2" x14ac:dyDescent="0.25">
      <c r="A15520" s="57">
        <v>60123302</v>
      </c>
      <c r="B15520" s="58" t="s">
        <v>6200</v>
      </c>
    </row>
    <row r="15521" spans="1:2" x14ac:dyDescent="0.25">
      <c r="A15521" s="57">
        <v>60123303</v>
      </c>
      <c r="B15521" s="58" t="s">
        <v>5608</v>
      </c>
    </row>
    <row r="15522" spans="1:2" x14ac:dyDescent="0.25">
      <c r="A15522" s="57">
        <v>60123401</v>
      </c>
      <c r="B15522" s="58" t="s">
        <v>12924</v>
      </c>
    </row>
    <row r="15523" spans="1:2" x14ac:dyDescent="0.25">
      <c r="A15523" s="57">
        <v>60123402</v>
      </c>
      <c r="B15523" s="58" t="s">
        <v>5499</v>
      </c>
    </row>
    <row r="15524" spans="1:2" x14ac:dyDescent="0.25">
      <c r="A15524" s="57">
        <v>60123403</v>
      </c>
      <c r="B15524" s="58" t="s">
        <v>12242</v>
      </c>
    </row>
    <row r="15525" spans="1:2" x14ac:dyDescent="0.25">
      <c r="A15525" s="57">
        <v>60123501</v>
      </c>
      <c r="B15525" s="58" t="s">
        <v>408</v>
      </c>
    </row>
    <row r="15526" spans="1:2" x14ac:dyDescent="0.25">
      <c r="A15526" s="57">
        <v>60123502</v>
      </c>
      <c r="B15526" s="58" t="s">
        <v>9797</v>
      </c>
    </row>
    <row r="15527" spans="1:2" x14ac:dyDescent="0.25">
      <c r="A15527" s="57">
        <v>60123601</v>
      </c>
      <c r="B15527" s="58" t="s">
        <v>12877</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12674</v>
      </c>
    </row>
    <row r="15541" spans="1:2" x14ac:dyDescent="0.25">
      <c r="A15541" s="57">
        <v>60124101</v>
      </c>
      <c r="B15541" s="58" t="s">
        <v>11840</v>
      </c>
    </row>
    <row r="15542" spans="1:2" x14ac:dyDescent="0.25">
      <c r="A15542" s="57">
        <v>60124102</v>
      </c>
      <c r="B15542" s="58" t="s">
        <v>8570</v>
      </c>
    </row>
    <row r="15543" spans="1:2" x14ac:dyDescent="0.25">
      <c r="A15543" s="57">
        <v>60124201</v>
      </c>
      <c r="B15543" s="58" t="s">
        <v>12419</v>
      </c>
    </row>
    <row r="15544" spans="1:2" x14ac:dyDescent="0.25">
      <c r="A15544" s="57">
        <v>60124301</v>
      </c>
      <c r="B15544" s="58" t="s">
        <v>12963</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12341</v>
      </c>
    </row>
    <row r="15548" spans="1:2" x14ac:dyDescent="0.25">
      <c r="A15548" s="57">
        <v>60124305</v>
      </c>
      <c r="B15548" s="58" t="s">
        <v>10871</v>
      </c>
    </row>
    <row r="15549" spans="1:2" x14ac:dyDescent="0.25">
      <c r="A15549" s="57">
        <v>60124306</v>
      </c>
      <c r="B15549" s="58" t="s">
        <v>9981</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11668</v>
      </c>
    </row>
    <row r="15553" spans="1:2" x14ac:dyDescent="0.25">
      <c r="A15553" s="57">
        <v>60124310</v>
      </c>
      <c r="B15553" s="58" t="s">
        <v>9675</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9961</v>
      </c>
    </row>
    <row r="15558" spans="1:2" x14ac:dyDescent="0.25">
      <c r="A15558" s="57">
        <v>60124315</v>
      </c>
      <c r="B15558" s="58" t="s">
        <v>18688</v>
      </c>
    </row>
    <row r="15559" spans="1:2" x14ac:dyDescent="0.25">
      <c r="A15559" s="57">
        <v>60124316</v>
      </c>
      <c r="B15559" s="58" t="s">
        <v>10895</v>
      </c>
    </row>
    <row r="15560" spans="1:2" x14ac:dyDescent="0.25">
      <c r="A15560" s="57">
        <v>60124317</v>
      </c>
      <c r="B15560" s="58" t="s">
        <v>18817</v>
      </c>
    </row>
    <row r="15561" spans="1:2" x14ac:dyDescent="0.25">
      <c r="A15561" s="57">
        <v>60124318</v>
      </c>
      <c r="B15561" s="58" t="s">
        <v>12673</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10780</v>
      </c>
    </row>
    <row r="15566" spans="1:2" x14ac:dyDescent="0.25">
      <c r="A15566" s="57">
        <v>60124323</v>
      </c>
      <c r="B15566" s="58" t="s">
        <v>12711</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12515</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11566</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11590</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12678</v>
      </c>
    </row>
    <row r="15599" spans="1:2" x14ac:dyDescent="0.25">
      <c r="A15599" s="57">
        <v>60131101</v>
      </c>
      <c r="B15599" s="58" t="s">
        <v>5117</v>
      </c>
    </row>
    <row r="15600" spans="1:2" x14ac:dyDescent="0.25">
      <c r="A15600" s="57">
        <v>60131102</v>
      </c>
      <c r="B15600" s="58" t="s">
        <v>11040</v>
      </c>
    </row>
    <row r="15601" spans="1:2" x14ac:dyDescent="0.25">
      <c r="A15601" s="57">
        <v>60131103</v>
      </c>
      <c r="B15601" s="58" t="s">
        <v>4640</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11025</v>
      </c>
    </row>
    <row r="15605" spans="1:2" x14ac:dyDescent="0.25">
      <c r="A15605" s="57">
        <v>60131107</v>
      </c>
      <c r="B15605" s="58" t="s">
        <v>14562</v>
      </c>
    </row>
    <row r="15606" spans="1:2" x14ac:dyDescent="0.25">
      <c r="A15606" s="57">
        <v>60131108</v>
      </c>
      <c r="B15606" s="58" t="s">
        <v>11819</v>
      </c>
    </row>
    <row r="15607" spans="1:2" x14ac:dyDescent="0.25">
      <c r="A15607" s="57">
        <v>60131109</v>
      </c>
      <c r="B15607" s="58" t="s">
        <v>11359</v>
      </c>
    </row>
    <row r="15608" spans="1:2" x14ac:dyDescent="0.25">
      <c r="A15608" s="57">
        <v>60131110</v>
      </c>
      <c r="B15608" s="58" t="s">
        <v>12970</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11772</v>
      </c>
    </row>
    <row r="15616" spans="1:2" x14ac:dyDescent="0.25">
      <c r="A15616" s="57">
        <v>60131206</v>
      </c>
      <c r="B15616" s="58" t="s">
        <v>9805</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10900</v>
      </c>
    </row>
    <row r="15624" spans="1:2" x14ac:dyDescent="0.25">
      <c r="A15624" s="57">
        <v>60131304</v>
      </c>
      <c r="B15624" s="58" t="s">
        <v>9783</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13842</v>
      </c>
    </row>
    <row r="15631" spans="1:2" x14ac:dyDescent="0.25">
      <c r="A15631" s="57">
        <v>60131402</v>
      </c>
      <c r="B15631" s="58" t="s">
        <v>9083</v>
      </c>
    </row>
    <row r="15632" spans="1:2" x14ac:dyDescent="0.25">
      <c r="A15632" s="57">
        <v>60131403</v>
      </c>
      <c r="B15632" s="58" t="s">
        <v>17691</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13086</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14555</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9991</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12397</v>
      </c>
    </row>
    <row r="15659" spans="1:2" x14ac:dyDescent="0.25">
      <c r="A15659" s="57">
        <v>60141003</v>
      </c>
      <c r="B15659" s="58" t="s">
        <v>183</v>
      </c>
    </row>
    <row r="15660" spans="1:2" x14ac:dyDescent="0.25">
      <c r="A15660" s="57">
        <v>60141004</v>
      </c>
      <c r="B15660" s="58" t="s">
        <v>10292</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11092</v>
      </c>
    </row>
    <row r="15674" spans="1:2" x14ac:dyDescent="0.25">
      <c r="A15674" s="57">
        <v>60141018</v>
      </c>
      <c r="B15674" s="58" t="s">
        <v>12234</v>
      </c>
    </row>
    <row r="15675" spans="1:2" x14ac:dyDescent="0.25">
      <c r="A15675" s="57">
        <v>60141019</v>
      </c>
      <c r="B15675" s="58" t="s">
        <v>13020</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9648</v>
      </c>
    </row>
    <row r="15681" spans="1:2" x14ac:dyDescent="0.25">
      <c r="A15681" s="57">
        <v>60141025</v>
      </c>
      <c r="B15681" s="58" t="s">
        <v>1165</v>
      </c>
    </row>
    <row r="15682" spans="1:2" x14ac:dyDescent="0.25">
      <c r="A15682" s="57">
        <v>60141026</v>
      </c>
      <c r="B15682" s="58" t="s">
        <v>10407</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10608</v>
      </c>
    </row>
    <row r="15687" spans="1:2" x14ac:dyDescent="0.25">
      <c r="A15687" s="57">
        <v>60141105</v>
      </c>
      <c r="B15687" s="58" t="s">
        <v>5190</v>
      </c>
    </row>
    <row r="15688" spans="1:2" x14ac:dyDescent="0.25">
      <c r="A15688" s="57">
        <v>60141106</v>
      </c>
      <c r="B15688" s="58" t="s">
        <v>13252</v>
      </c>
    </row>
    <row r="15689" spans="1:2" x14ac:dyDescent="0.25">
      <c r="A15689" s="57">
        <v>60141107</v>
      </c>
      <c r="B15689" s="58" t="s">
        <v>12937</v>
      </c>
    </row>
    <row r="15690" spans="1:2" x14ac:dyDescent="0.25">
      <c r="A15690" s="57">
        <v>60141108</v>
      </c>
      <c r="B15690" s="58" t="s">
        <v>2831</v>
      </c>
    </row>
    <row r="15691" spans="1:2" x14ac:dyDescent="0.25">
      <c r="A15691" s="57">
        <v>60141109</v>
      </c>
      <c r="B15691" s="58" t="s">
        <v>10361</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12703</v>
      </c>
    </row>
    <row r="15695" spans="1:2" x14ac:dyDescent="0.25">
      <c r="A15695" s="57">
        <v>60141113</v>
      </c>
      <c r="B15695" s="58" t="s">
        <v>1091</v>
      </c>
    </row>
    <row r="15696" spans="1:2" x14ac:dyDescent="0.25">
      <c r="A15696" s="57">
        <v>60141114</v>
      </c>
      <c r="B15696" s="58" t="s">
        <v>11329</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13154</v>
      </c>
    </row>
    <row r="15715" spans="1:2" x14ac:dyDescent="0.25">
      <c r="A15715" s="57">
        <v>70101502</v>
      </c>
      <c r="B15715" s="58" t="s">
        <v>12622</v>
      </c>
    </row>
    <row r="15716" spans="1:2" x14ac:dyDescent="0.25">
      <c r="A15716" s="57">
        <v>70101503</v>
      </c>
      <c r="B15716" s="58" t="s">
        <v>12677</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12901</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10162</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10745</v>
      </c>
    </row>
    <row r="15732" spans="1:2" x14ac:dyDescent="0.25">
      <c r="A15732" s="57">
        <v>70101702</v>
      </c>
      <c r="B15732" s="58" t="s">
        <v>1676</v>
      </c>
    </row>
    <row r="15733" spans="1:2" x14ac:dyDescent="0.25">
      <c r="A15733" s="57">
        <v>70101703</v>
      </c>
      <c r="B15733" s="58" t="s">
        <v>9649</v>
      </c>
    </row>
    <row r="15734" spans="1:2" x14ac:dyDescent="0.25">
      <c r="A15734" s="57">
        <v>70101704</v>
      </c>
      <c r="B15734" s="58" t="s">
        <v>11107</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9968</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12916</v>
      </c>
    </row>
    <row r="15753" spans="1:2" x14ac:dyDescent="0.25">
      <c r="A15753" s="57">
        <v>70111508</v>
      </c>
      <c r="B15753" s="58" t="s">
        <v>1929</v>
      </c>
    </row>
    <row r="15754" spans="1:2" x14ac:dyDescent="0.25">
      <c r="A15754" s="57">
        <v>70111601</v>
      </c>
      <c r="B15754" s="58" t="s">
        <v>11251</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10663</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12570</v>
      </c>
    </row>
    <row r="15763" spans="1:2" x14ac:dyDescent="0.25">
      <c r="A15763" s="57">
        <v>70111707</v>
      </c>
      <c r="B15763" s="58" t="s">
        <v>15397</v>
      </c>
    </row>
    <row r="15764" spans="1:2" x14ac:dyDescent="0.25">
      <c r="A15764" s="57">
        <v>70111708</v>
      </c>
      <c r="B15764" s="58" t="s">
        <v>10610</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5118</v>
      </c>
    </row>
    <row r="15773" spans="1:2" x14ac:dyDescent="0.25">
      <c r="A15773" s="57">
        <v>70121504</v>
      </c>
      <c r="B15773" s="58" t="s">
        <v>17386</v>
      </c>
    </row>
    <row r="15774" spans="1:2" x14ac:dyDescent="0.25">
      <c r="A15774" s="57">
        <v>70121505</v>
      </c>
      <c r="B15774" s="58" t="s">
        <v>9929</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11047</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11089</v>
      </c>
    </row>
    <row r="15796" spans="1:2" x14ac:dyDescent="0.25">
      <c r="A15796" s="57">
        <v>70122002</v>
      </c>
      <c r="B15796" s="58" t="s">
        <v>12629</v>
      </c>
    </row>
    <row r="15797" spans="1:2" x14ac:dyDescent="0.25">
      <c r="A15797" s="57">
        <v>70122003</v>
      </c>
      <c r="B15797" s="58" t="s">
        <v>17282</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11409</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10095</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11248</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10907</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10229</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10475</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11740</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11915</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9790</v>
      </c>
    </row>
    <row r="15858" spans="1:2" x14ac:dyDescent="0.25">
      <c r="A15858" s="57">
        <v>70141708</v>
      </c>
      <c r="B15858" s="58" t="s">
        <v>11331</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10408</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13039</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10334</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11554</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17473</v>
      </c>
    </row>
    <row r="15895" spans="1:2" x14ac:dyDescent="0.25">
      <c r="A15895" s="57">
        <v>70151606</v>
      </c>
      <c r="B15895" s="58" t="s">
        <v>9676</v>
      </c>
    </row>
    <row r="15896" spans="1:2" x14ac:dyDescent="0.25">
      <c r="A15896" s="57">
        <v>70151701</v>
      </c>
      <c r="B15896" s="58" t="s">
        <v>8173</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9751</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11724</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13091</v>
      </c>
    </row>
    <row r="15914" spans="1:2" x14ac:dyDescent="0.25">
      <c r="A15914" s="57">
        <v>70151905</v>
      </c>
      <c r="B15914" s="58" t="s">
        <v>4383</v>
      </c>
    </row>
    <row r="15915" spans="1:2" x14ac:dyDescent="0.25">
      <c r="A15915" s="57">
        <v>70151906</v>
      </c>
      <c r="B15915" s="58" t="s">
        <v>10488</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12907</v>
      </c>
    </row>
    <row r="15924" spans="1:2" x14ac:dyDescent="0.25">
      <c r="A15924" s="57">
        <v>70161704</v>
      </c>
      <c r="B15924" s="58" t="s">
        <v>10495</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12021</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12011</v>
      </c>
    </row>
    <row r="15945" spans="1:2" x14ac:dyDescent="0.25">
      <c r="A15945" s="57">
        <v>70171708</v>
      </c>
      <c r="B15945" s="58" t="s">
        <v>4809</v>
      </c>
    </row>
    <row r="15946" spans="1:2" x14ac:dyDescent="0.25">
      <c r="A15946" s="57">
        <v>70171709</v>
      </c>
      <c r="B15946" s="58" t="s">
        <v>12788</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11569</v>
      </c>
    </row>
    <row r="15953" spans="1:2" x14ac:dyDescent="0.25">
      <c r="A15953" s="57">
        <v>71101602</v>
      </c>
      <c r="B15953" s="58" t="s">
        <v>10702</v>
      </c>
    </row>
    <row r="15954" spans="1:2" x14ac:dyDescent="0.25">
      <c r="A15954" s="57">
        <v>71101701</v>
      </c>
      <c r="B15954" s="58" t="s">
        <v>15783</v>
      </c>
    </row>
    <row r="15955" spans="1:2" x14ac:dyDescent="0.25">
      <c r="A15955" s="57">
        <v>71101702</v>
      </c>
      <c r="B15955" s="58" t="s">
        <v>13603</v>
      </c>
    </row>
    <row r="15956" spans="1:2" x14ac:dyDescent="0.25">
      <c r="A15956" s="57">
        <v>71101703</v>
      </c>
      <c r="B15956" s="58" t="s">
        <v>12366</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11220</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11367</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11472</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12708</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17083</v>
      </c>
    </row>
    <row r="15975" spans="1:2" x14ac:dyDescent="0.25">
      <c r="A15975" s="57">
        <v>71112013</v>
      </c>
      <c r="B15975" s="58" t="s">
        <v>9909</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12896</v>
      </c>
    </row>
    <row r="15981" spans="1:2" x14ac:dyDescent="0.25">
      <c r="A15981" s="57">
        <v>71112020</v>
      </c>
      <c r="B15981" s="58" t="s">
        <v>13333</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13049</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10620</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11809</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13134</v>
      </c>
    </row>
    <row r="16001" spans="1:2" x14ac:dyDescent="0.25">
      <c r="A16001" s="57">
        <v>71112109</v>
      </c>
      <c r="B16001" s="58" t="s">
        <v>3942</v>
      </c>
    </row>
    <row r="16002" spans="1:2" x14ac:dyDescent="0.25">
      <c r="A16002" s="57">
        <v>71112110</v>
      </c>
      <c r="B16002" s="58" t="s">
        <v>10752</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11246</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12891</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13337</v>
      </c>
    </row>
    <row r="16027" spans="1:2" x14ac:dyDescent="0.25">
      <c r="A16027" s="57">
        <v>71112309</v>
      </c>
      <c r="B16027" s="58" t="s">
        <v>11626</v>
      </c>
    </row>
    <row r="16028" spans="1:2" x14ac:dyDescent="0.25">
      <c r="A16028" s="57">
        <v>71112310</v>
      </c>
      <c r="B16028" s="58" t="s">
        <v>12362</v>
      </c>
    </row>
    <row r="16029" spans="1:2" x14ac:dyDescent="0.25">
      <c r="A16029" s="57">
        <v>71112311</v>
      </c>
      <c r="B16029" s="58" t="s">
        <v>18641</v>
      </c>
    </row>
    <row r="16030" spans="1:2" x14ac:dyDescent="0.25">
      <c r="A16030" s="57">
        <v>71112312</v>
      </c>
      <c r="B16030" s="58" t="s">
        <v>11157</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10084</v>
      </c>
    </row>
    <row r="16034" spans="1:2" x14ac:dyDescent="0.25">
      <c r="A16034" s="57">
        <v>71112316</v>
      </c>
      <c r="B16034" s="58" t="s">
        <v>14631</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11194</v>
      </c>
    </row>
    <row r="16057" spans="1:2" x14ac:dyDescent="0.25">
      <c r="A16057" s="57">
        <v>71121018</v>
      </c>
      <c r="B16057" s="58" t="s">
        <v>10047</v>
      </c>
    </row>
    <row r="16058" spans="1:2" x14ac:dyDescent="0.25">
      <c r="A16058" s="57">
        <v>71121019</v>
      </c>
      <c r="B16058" s="58" t="s">
        <v>17707</v>
      </c>
    </row>
    <row r="16059" spans="1:2" x14ac:dyDescent="0.25">
      <c r="A16059" s="57">
        <v>71121020</v>
      </c>
      <c r="B16059" s="58" t="s">
        <v>10130</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10642</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7618</v>
      </c>
    </row>
    <row r="16066" spans="1:2" x14ac:dyDescent="0.25">
      <c r="A16066" s="57">
        <v>71121104</v>
      </c>
      <c r="B16066" s="58" t="s">
        <v>14068</v>
      </c>
    </row>
    <row r="16067" spans="1:2" x14ac:dyDescent="0.25">
      <c r="A16067" s="57">
        <v>71121105</v>
      </c>
      <c r="B16067" s="58" t="s">
        <v>11410</v>
      </c>
    </row>
    <row r="16068" spans="1:2" x14ac:dyDescent="0.25">
      <c r="A16068" s="57">
        <v>71121106</v>
      </c>
      <c r="B16068" s="58" t="s">
        <v>5290</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11584</v>
      </c>
    </row>
    <row r="16073" spans="1:2" x14ac:dyDescent="0.25">
      <c r="A16073" s="57">
        <v>71121111</v>
      </c>
      <c r="B16073" s="58" t="s">
        <v>17114</v>
      </c>
    </row>
    <row r="16074" spans="1:2" x14ac:dyDescent="0.25">
      <c r="A16074" s="57">
        <v>71121112</v>
      </c>
      <c r="B16074" s="58" t="s">
        <v>10614</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12586</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11048</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12634</v>
      </c>
    </row>
    <row r="16096" spans="1:2" x14ac:dyDescent="0.25">
      <c r="A16096" s="57">
        <v>71121303</v>
      </c>
      <c r="B16096" s="58" t="s">
        <v>12137</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11060</v>
      </c>
    </row>
    <row r="16107" spans="1:2" x14ac:dyDescent="0.25">
      <c r="A16107" s="57">
        <v>71121502</v>
      </c>
      <c r="B16107" s="58" t="s">
        <v>11899</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12096</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12268</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12090</v>
      </c>
    </row>
    <row r="16127" spans="1:2" x14ac:dyDescent="0.25">
      <c r="A16127" s="57">
        <v>71121606</v>
      </c>
      <c r="B16127" s="58" t="s">
        <v>12869</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10277</v>
      </c>
    </row>
    <row r="16131" spans="1:2" x14ac:dyDescent="0.25">
      <c r="A16131" s="57">
        <v>71121610</v>
      </c>
      <c r="B16131" s="58" t="s">
        <v>6156</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12644</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12077</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11658</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11134</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12552</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11816</v>
      </c>
    </row>
    <row r="16178" spans="1:2" x14ac:dyDescent="0.25">
      <c r="A16178" s="57">
        <v>71122101</v>
      </c>
      <c r="B16178" s="58" t="s">
        <v>10721</v>
      </c>
    </row>
    <row r="16179" spans="1:2" x14ac:dyDescent="0.25">
      <c r="A16179" s="57">
        <v>71122102</v>
      </c>
      <c r="B16179" s="58" t="s">
        <v>10136</v>
      </c>
    </row>
    <row r="16180" spans="1:2" x14ac:dyDescent="0.25">
      <c r="A16180" s="57">
        <v>71122103</v>
      </c>
      <c r="B16180" s="58" t="s">
        <v>10516</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12384</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13934</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11925</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11669</v>
      </c>
    </row>
    <row r="16227" spans="1:2" x14ac:dyDescent="0.25">
      <c r="A16227" s="57">
        <v>71122611</v>
      </c>
      <c r="B16227" s="58" t="s">
        <v>12668</v>
      </c>
    </row>
    <row r="16228" spans="1:2" x14ac:dyDescent="0.25">
      <c r="A16228" s="57">
        <v>71122612</v>
      </c>
      <c r="B16228" s="58" t="s">
        <v>14435</v>
      </c>
    </row>
    <row r="16229" spans="1:2" x14ac:dyDescent="0.25">
      <c r="A16229" s="57">
        <v>71122613</v>
      </c>
      <c r="B16229" s="58" t="s">
        <v>8859</v>
      </c>
    </row>
    <row r="16230" spans="1:2" x14ac:dyDescent="0.25">
      <c r="A16230" s="57">
        <v>71122701</v>
      </c>
      <c r="B16230" s="58" t="s">
        <v>9664</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13643</v>
      </c>
    </row>
    <row r="16240" spans="1:2" x14ac:dyDescent="0.25">
      <c r="A16240" s="57">
        <v>71122803</v>
      </c>
      <c r="B16240" s="58" t="s">
        <v>12034</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12459</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5789</v>
      </c>
    </row>
    <row r="16253" spans="1:2" x14ac:dyDescent="0.25">
      <c r="A16253" s="57">
        <v>71131002</v>
      </c>
      <c r="B16253" s="58" t="s">
        <v>10521</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12498</v>
      </c>
    </row>
    <row r="16261" spans="1:2" x14ac:dyDescent="0.25">
      <c r="A16261" s="57">
        <v>71131010</v>
      </c>
      <c r="B16261" s="58" t="s">
        <v>12357</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11150</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13031</v>
      </c>
    </row>
    <row r="16276" spans="1:2" x14ac:dyDescent="0.25">
      <c r="A16276" s="57">
        <v>71131108</v>
      </c>
      <c r="B16276" s="58" t="s">
        <v>12813</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9814</v>
      </c>
    </row>
    <row r="16280" spans="1:2" x14ac:dyDescent="0.25">
      <c r="A16280" s="57">
        <v>71131201</v>
      </c>
      <c r="B16280" s="58" t="s">
        <v>9897</v>
      </c>
    </row>
    <row r="16281" spans="1:2" x14ac:dyDescent="0.25">
      <c r="A16281" s="57">
        <v>71131301</v>
      </c>
      <c r="B16281" s="58" t="s">
        <v>8641</v>
      </c>
    </row>
    <row r="16282" spans="1:2" x14ac:dyDescent="0.25">
      <c r="A16282" s="57">
        <v>71131302</v>
      </c>
      <c r="B16282" s="58" t="s">
        <v>17826</v>
      </c>
    </row>
    <row r="16283" spans="1:2" x14ac:dyDescent="0.25">
      <c r="A16283" s="57">
        <v>71131303</v>
      </c>
      <c r="B16283" s="58" t="s">
        <v>8973</v>
      </c>
    </row>
    <row r="16284" spans="1:2" x14ac:dyDescent="0.25">
      <c r="A16284" s="57">
        <v>71131304</v>
      </c>
      <c r="B16284" s="58" t="s">
        <v>9803</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12345</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10126</v>
      </c>
    </row>
    <row r="16298" spans="1:2" x14ac:dyDescent="0.25">
      <c r="A16298" s="57">
        <v>71141101</v>
      </c>
      <c r="B16298" s="58" t="s">
        <v>11428</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13793</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12207</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10804</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5969</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4830</v>
      </c>
    </row>
    <row r="16330" spans="1:2" x14ac:dyDescent="0.25">
      <c r="A16330" s="57">
        <v>71151401</v>
      </c>
      <c r="B16330" s="58" t="s">
        <v>10364</v>
      </c>
    </row>
    <row r="16331" spans="1:2" x14ac:dyDescent="0.25">
      <c r="A16331" s="57">
        <v>71151402</v>
      </c>
      <c r="B16331" s="58" t="s">
        <v>5915</v>
      </c>
    </row>
    <row r="16332" spans="1:2" x14ac:dyDescent="0.25">
      <c r="A16332" s="57">
        <v>71151403</v>
      </c>
      <c r="B16332" s="58" t="s">
        <v>8270</v>
      </c>
    </row>
    <row r="16333" spans="1:2" x14ac:dyDescent="0.25">
      <c r="A16333" s="57">
        <v>71151404</v>
      </c>
      <c r="B16333" s="58" t="s">
        <v>10255</v>
      </c>
    </row>
    <row r="16334" spans="1:2" x14ac:dyDescent="0.25">
      <c r="A16334" s="57">
        <v>71151405</v>
      </c>
      <c r="B16334" s="58" t="s">
        <v>10687</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6559</v>
      </c>
    </row>
    <row r="16339" spans="1:2" x14ac:dyDescent="0.25">
      <c r="A16339" s="57">
        <v>71161004</v>
      </c>
      <c r="B16339" s="58" t="s">
        <v>9982</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10588</v>
      </c>
    </row>
    <row r="16350" spans="1:2" x14ac:dyDescent="0.25">
      <c r="A16350" s="57">
        <v>71161110</v>
      </c>
      <c r="B16350" s="58" t="s">
        <v>12914</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10472</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5414</v>
      </c>
    </row>
    <row r="16363" spans="1:2" x14ac:dyDescent="0.25">
      <c r="A16363" s="57">
        <v>71161306</v>
      </c>
      <c r="B16363" s="58" t="s">
        <v>12484</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13171</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10698</v>
      </c>
    </row>
    <row r="16371" spans="1:2" x14ac:dyDescent="0.25">
      <c r="A16371" s="57">
        <v>71161409</v>
      </c>
      <c r="B16371" s="58" t="s">
        <v>15284</v>
      </c>
    </row>
    <row r="16372" spans="1:2" x14ac:dyDescent="0.25">
      <c r="A16372" s="57">
        <v>71161410</v>
      </c>
      <c r="B16372" s="58" t="s">
        <v>10254</v>
      </c>
    </row>
    <row r="16373" spans="1:2" x14ac:dyDescent="0.25">
      <c r="A16373" s="57">
        <v>71161411</v>
      </c>
      <c r="B16373" s="58" t="s">
        <v>10705</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13008</v>
      </c>
    </row>
    <row r="16383" spans="1:2" x14ac:dyDescent="0.25">
      <c r="A16383" s="57">
        <v>72101503</v>
      </c>
      <c r="B16383" s="58" t="s">
        <v>4679</v>
      </c>
    </row>
    <row r="16384" spans="1:2" x14ac:dyDescent="0.25">
      <c r="A16384" s="57">
        <v>72101504</v>
      </c>
      <c r="B16384" s="58" t="s">
        <v>10304</v>
      </c>
    </row>
    <row r="16385" spans="1:2" x14ac:dyDescent="0.25">
      <c r="A16385" s="57">
        <v>72101505</v>
      </c>
      <c r="B16385" s="58" t="s">
        <v>17827</v>
      </c>
    </row>
    <row r="16386" spans="1:2" x14ac:dyDescent="0.25">
      <c r="A16386" s="57">
        <v>72101506</v>
      </c>
      <c r="B16386" s="58" t="s">
        <v>11104</v>
      </c>
    </row>
    <row r="16387" spans="1:2" x14ac:dyDescent="0.25">
      <c r="A16387" s="57">
        <v>72101601</v>
      </c>
      <c r="B16387" s="58" t="s">
        <v>11319</v>
      </c>
    </row>
    <row r="16388" spans="1:2" x14ac:dyDescent="0.25">
      <c r="A16388" s="57">
        <v>72101602</v>
      </c>
      <c r="B16388" s="58" t="s">
        <v>6110</v>
      </c>
    </row>
    <row r="16389" spans="1:2" x14ac:dyDescent="0.25">
      <c r="A16389" s="57">
        <v>72101603</v>
      </c>
      <c r="B16389" s="58" t="s">
        <v>5164</v>
      </c>
    </row>
    <row r="16390" spans="1:2" x14ac:dyDescent="0.25">
      <c r="A16390" s="57">
        <v>72101604</v>
      </c>
      <c r="B16390" s="58" t="s">
        <v>11908</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12199</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12346</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12378</v>
      </c>
    </row>
    <row r="16407" spans="1:2" x14ac:dyDescent="0.25">
      <c r="A16407" s="57">
        <v>72102004</v>
      </c>
      <c r="B16407" s="58" t="s">
        <v>10640</v>
      </c>
    </row>
    <row r="16408" spans="1:2" x14ac:dyDescent="0.25">
      <c r="A16408" s="57">
        <v>72102005</v>
      </c>
      <c r="B16408" s="58" t="s">
        <v>1562</v>
      </c>
    </row>
    <row r="16409" spans="1:2" x14ac:dyDescent="0.25">
      <c r="A16409" s="57">
        <v>72102006</v>
      </c>
      <c r="B16409" s="58" t="s">
        <v>10519</v>
      </c>
    </row>
    <row r="16410" spans="1:2" x14ac:dyDescent="0.25">
      <c r="A16410" s="57">
        <v>72102101</v>
      </c>
      <c r="B16410" s="58" t="s">
        <v>16118</v>
      </c>
    </row>
    <row r="16411" spans="1:2" x14ac:dyDescent="0.25">
      <c r="A16411" s="57">
        <v>72102102</v>
      </c>
      <c r="B16411" s="58" t="s">
        <v>12062</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11632</v>
      </c>
    </row>
    <row r="16418" spans="1:2" x14ac:dyDescent="0.25">
      <c r="A16418" s="57">
        <v>72102203</v>
      </c>
      <c r="B16418" s="58" t="s">
        <v>18776</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10670</v>
      </c>
    </row>
    <row r="16423" spans="1:2" x14ac:dyDescent="0.25">
      <c r="A16423" s="57">
        <v>72102208</v>
      </c>
      <c r="B16423" s="58" t="s">
        <v>8603</v>
      </c>
    </row>
    <row r="16424" spans="1:2" x14ac:dyDescent="0.25">
      <c r="A16424" s="57">
        <v>72102209</v>
      </c>
      <c r="B16424" s="58" t="s">
        <v>9868</v>
      </c>
    </row>
    <row r="16425" spans="1:2" x14ac:dyDescent="0.25">
      <c r="A16425" s="57">
        <v>72102301</v>
      </c>
      <c r="B16425" s="58" t="s">
        <v>2678</v>
      </c>
    </row>
    <row r="16426" spans="1:2" x14ac:dyDescent="0.25">
      <c r="A16426" s="57">
        <v>72102302</v>
      </c>
      <c r="B16426" s="58" t="s">
        <v>12769</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10682</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11126</v>
      </c>
    </row>
    <row r="16440" spans="1:2" x14ac:dyDescent="0.25">
      <c r="A16440" s="57">
        <v>72102506</v>
      </c>
      <c r="B16440" s="58" t="s">
        <v>8682</v>
      </c>
    </row>
    <row r="16441" spans="1:2" x14ac:dyDescent="0.25">
      <c r="A16441" s="57">
        <v>72102507</v>
      </c>
      <c r="B16441" s="58" t="s">
        <v>10653</v>
      </c>
    </row>
    <row r="16442" spans="1:2" x14ac:dyDescent="0.25">
      <c r="A16442" s="57">
        <v>72102508</v>
      </c>
      <c r="B16442" s="58" t="s">
        <v>10301</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12895</v>
      </c>
    </row>
    <row r="16446" spans="1:2" x14ac:dyDescent="0.25">
      <c r="A16446" s="57">
        <v>72102702</v>
      </c>
      <c r="B16446" s="58" t="s">
        <v>14291</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11158</v>
      </c>
    </row>
    <row r="16460" spans="1:2" x14ac:dyDescent="0.25">
      <c r="A16460" s="57">
        <v>72131502</v>
      </c>
      <c r="B16460" s="58" t="s">
        <v>13045</v>
      </c>
    </row>
    <row r="16461" spans="1:2" x14ac:dyDescent="0.25">
      <c r="A16461" s="57">
        <v>72131601</v>
      </c>
      <c r="B16461" s="58" t="s">
        <v>2206</v>
      </c>
    </row>
    <row r="16462" spans="1:2" x14ac:dyDescent="0.25">
      <c r="A16462" s="57">
        <v>72131701</v>
      </c>
      <c r="B16462" s="58" t="s">
        <v>12760</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11730</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11650</v>
      </c>
    </row>
    <row r="16481" spans="1:2" x14ac:dyDescent="0.25">
      <c r="A16481" s="57">
        <v>73101613</v>
      </c>
      <c r="B16481" s="58" t="s">
        <v>12120</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12406</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13251</v>
      </c>
    </row>
    <row r="16491" spans="1:2" x14ac:dyDescent="0.25">
      <c r="A16491" s="57">
        <v>73111501</v>
      </c>
      <c r="B16491" s="58" t="s">
        <v>12237</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13897</v>
      </c>
    </row>
    <row r="16509" spans="1:2" x14ac:dyDescent="0.25">
      <c r="A16509" s="57">
        <v>73121508</v>
      </c>
      <c r="B16509" s="58" t="s">
        <v>7343</v>
      </c>
    </row>
    <row r="16510" spans="1:2" x14ac:dyDescent="0.25">
      <c r="A16510" s="57">
        <v>73121509</v>
      </c>
      <c r="B16510" s="58" t="s">
        <v>12585</v>
      </c>
    </row>
    <row r="16511" spans="1:2" x14ac:dyDescent="0.25">
      <c r="A16511" s="57">
        <v>73121601</v>
      </c>
      <c r="B16511" s="58" t="s">
        <v>12074</v>
      </c>
    </row>
    <row r="16512" spans="1:2" x14ac:dyDescent="0.25">
      <c r="A16512" s="57">
        <v>73121602</v>
      </c>
      <c r="B16512" s="58" t="s">
        <v>10468</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10468</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11516</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13732</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12617</v>
      </c>
    </row>
    <row r="16534" spans="1:2" x14ac:dyDescent="0.25">
      <c r="A16534" s="57">
        <v>73131507</v>
      </c>
      <c r="B16534" s="58" t="s">
        <v>14545</v>
      </c>
    </row>
    <row r="16535" spans="1:2" x14ac:dyDescent="0.25">
      <c r="A16535" s="57">
        <v>73131508</v>
      </c>
      <c r="B16535" s="58" t="s">
        <v>6773</v>
      </c>
    </row>
    <row r="16536" spans="1:2" x14ac:dyDescent="0.25">
      <c r="A16536" s="57">
        <v>73131601</v>
      </c>
      <c r="B16536" s="58" t="s">
        <v>12350</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11642</v>
      </c>
    </row>
    <row r="16541" spans="1:2" x14ac:dyDescent="0.25">
      <c r="A16541" s="57">
        <v>73131606</v>
      </c>
      <c r="B16541" s="58" t="s">
        <v>4907</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11187</v>
      </c>
    </row>
    <row r="16546" spans="1:2" x14ac:dyDescent="0.25">
      <c r="A16546" s="57">
        <v>73131703</v>
      </c>
      <c r="B16546" s="58" t="s">
        <v>8262</v>
      </c>
    </row>
    <row r="16547" spans="1:2" x14ac:dyDescent="0.25">
      <c r="A16547" s="57">
        <v>73131801</v>
      </c>
      <c r="B16547" s="58" t="s">
        <v>17787</v>
      </c>
    </row>
    <row r="16548" spans="1:2" x14ac:dyDescent="0.25">
      <c r="A16548" s="57">
        <v>73131802</v>
      </c>
      <c r="B16548" s="58" t="s">
        <v>5163</v>
      </c>
    </row>
    <row r="16549" spans="1:2" x14ac:dyDescent="0.25">
      <c r="A16549" s="57">
        <v>73131803</v>
      </c>
      <c r="B16549" s="58" t="s">
        <v>10111</v>
      </c>
    </row>
    <row r="16550" spans="1:2" x14ac:dyDescent="0.25">
      <c r="A16550" s="57">
        <v>73131804</v>
      </c>
      <c r="B16550" s="58" t="s">
        <v>7783</v>
      </c>
    </row>
    <row r="16551" spans="1:2" x14ac:dyDescent="0.25">
      <c r="A16551" s="57">
        <v>73131902</v>
      </c>
      <c r="B16551" s="58" t="s">
        <v>12603</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9986</v>
      </c>
    </row>
    <row r="16556" spans="1:2" x14ac:dyDescent="0.25">
      <c r="A16556" s="57">
        <v>73141501</v>
      </c>
      <c r="B16556" s="58" t="s">
        <v>2404</v>
      </c>
    </row>
    <row r="16557" spans="1:2" x14ac:dyDescent="0.25">
      <c r="A16557" s="57">
        <v>73141502</v>
      </c>
      <c r="B16557" s="58" t="s">
        <v>9791</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10222</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9781</v>
      </c>
    </row>
    <row r="16570" spans="1:2" x14ac:dyDescent="0.25">
      <c r="A16570" s="57">
        <v>73141705</v>
      </c>
      <c r="B16570" s="58" t="s">
        <v>14549</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11381</v>
      </c>
    </row>
    <row r="16574" spans="1:2" x14ac:dyDescent="0.25">
      <c r="A16574" s="57">
        <v>73141709</v>
      </c>
      <c r="B16574" s="58" t="s">
        <v>9958</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13067</v>
      </c>
    </row>
    <row r="16594" spans="1:2" x14ac:dyDescent="0.25">
      <c r="A16594" s="57">
        <v>73151802</v>
      </c>
      <c r="B16594" s="58" t="s">
        <v>12990</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10619</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10890</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13025</v>
      </c>
    </row>
    <row r="16606" spans="1:2" x14ac:dyDescent="0.25">
      <c r="A16606" s="57">
        <v>73152002</v>
      </c>
      <c r="B16606" s="58" t="s">
        <v>17426</v>
      </c>
    </row>
    <row r="16607" spans="1:2" x14ac:dyDescent="0.25">
      <c r="A16607" s="57">
        <v>73152003</v>
      </c>
      <c r="B16607" s="58" t="s">
        <v>9940</v>
      </c>
    </row>
    <row r="16608" spans="1:2" x14ac:dyDescent="0.25">
      <c r="A16608" s="57">
        <v>73152004</v>
      </c>
      <c r="B16608" s="58" t="s">
        <v>10142</v>
      </c>
    </row>
    <row r="16609" spans="1:2" x14ac:dyDescent="0.25">
      <c r="A16609" s="57">
        <v>73152101</v>
      </c>
      <c r="B16609" s="58" t="s">
        <v>13480</v>
      </c>
    </row>
    <row r="16610" spans="1:2" x14ac:dyDescent="0.25">
      <c r="A16610" s="57">
        <v>73152102</v>
      </c>
      <c r="B16610" s="58" t="s">
        <v>11731</v>
      </c>
    </row>
    <row r="16611" spans="1:2" x14ac:dyDescent="0.25">
      <c r="A16611" s="57">
        <v>73161501</v>
      </c>
      <c r="B16611" s="58" t="s">
        <v>11878</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11686</v>
      </c>
    </row>
    <row r="16615" spans="1:2" x14ac:dyDescent="0.25">
      <c r="A16615" s="57">
        <v>73161505</v>
      </c>
      <c r="B16615" s="58" t="s">
        <v>14765</v>
      </c>
    </row>
    <row r="16616" spans="1:2" x14ac:dyDescent="0.25">
      <c r="A16616" s="57">
        <v>73161506</v>
      </c>
      <c r="B16616" s="58" t="s">
        <v>10586</v>
      </c>
    </row>
    <row r="16617" spans="1:2" x14ac:dyDescent="0.25">
      <c r="A16617" s="57">
        <v>73161507</v>
      </c>
      <c r="B16617" s="58" t="s">
        <v>8492</v>
      </c>
    </row>
    <row r="16618" spans="1:2" x14ac:dyDescent="0.25">
      <c r="A16618" s="57">
        <v>73161508</v>
      </c>
      <c r="B16618" s="58" t="s">
        <v>12766</v>
      </c>
    </row>
    <row r="16619" spans="1:2" x14ac:dyDescent="0.25">
      <c r="A16619" s="57">
        <v>73161509</v>
      </c>
      <c r="B16619" s="58" t="s">
        <v>12588</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10569</v>
      </c>
    </row>
    <row r="16634" spans="1:2" x14ac:dyDescent="0.25">
      <c r="A16634" s="57">
        <v>73161605</v>
      </c>
      <c r="B16634" s="58" t="s">
        <v>14985</v>
      </c>
    </row>
    <row r="16635" spans="1:2" x14ac:dyDescent="0.25">
      <c r="A16635" s="57">
        <v>73161606</v>
      </c>
      <c r="B16635" s="58" t="s">
        <v>11093</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11204</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17964</v>
      </c>
    </row>
    <row r="16643" spans="1:2" x14ac:dyDescent="0.25">
      <c r="A16643" s="57">
        <v>73171507</v>
      </c>
      <c r="B16643" s="58" t="s">
        <v>13002</v>
      </c>
    </row>
    <row r="16644" spans="1:2" x14ac:dyDescent="0.25">
      <c r="A16644" s="57">
        <v>73171508</v>
      </c>
      <c r="B16644" s="58" t="s">
        <v>13000</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13046</v>
      </c>
    </row>
    <row r="16655" spans="1:2" x14ac:dyDescent="0.25">
      <c r="A16655" s="57">
        <v>73181003</v>
      </c>
      <c r="B16655" s="58" t="s">
        <v>11990</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14350</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10929</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10796</v>
      </c>
    </row>
    <row r="16668" spans="1:2" x14ac:dyDescent="0.25">
      <c r="A16668" s="57">
        <v>73181016</v>
      </c>
      <c r="B16668" s="58" t="s">
        <v>11274</v>
      </c>
    </row>
    <row r="16669" spans="1:2" x14ac:dyDescent="0.25">
      <c r="A16669" s="57">
        <v>73181017</v>
      </c>
      <c r="B16669" s="58" t="s">
        <v>17463</v>
      </c>
    </row>
    <row r="16670" spans="1:2" x14ac:dyDescent="0.25">
      <c r="A16670" s="57">
        <v>73181018</v>
      </c>
      <c r="B16670" s="58" t="s">
        <v>11303</v>
      </c>
    </row>
    <row r="16671" spans="1:2" x14ac:dyDescent="0.25">
      <c r="A16671" s="57">
        <v>73181019</v>
      </c>
      <c r="B16671" s="58" t="s">
        <v>6102</v>
      </c>
    </row>
    <row r="16672" spans="1:2" x14ac:dyDescent="0.25">
      <c r="A16672" s="57">
        <v>73181020</v>
      </c>
      <c r="B16672" s="58" t="s">
        <v>11530</v>
      </c>
    </row>
    <row r="16673" spans="1:2" x14ac:dyDescent="0.25">
      <c r="A16673" s="57">
        <v>73181021</v>
      </c>
      <c r="B16673" s="58" t="s">
        <v>4431</v>
      </c>
    </row>
    <row r="16674" spans="1:2" x14ac:dyDescent="0.25">
      <c r="A16674" s="57">
        <v>73181022</v>
      </c>
      <c r="B16674" s="58" t="s">
        <v>13174</v>
      </c>
    </row>
    <row r="16675" spans="1:2" x14ac:dyDescent="0.25">
      <c r="A16675" s="57">
        <v>73181023</v>
      </c>
      <c r="B16675" s="58" t="s">
        <v>897</v>
      </c>
    </row>
    <row r="16676" spans="1:2" x14ac:dyDescent="0.25">
      <c r="A16676" s="57">
        <v>73181101</v>
      </c>
      <c r="B16676" s="58" t="s">
        <v>10973</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11007</v>
      </c>
    </row>
    <row r="16680" spans="1:2" x14ac:dyDescent="0.25">
      <c r="A16680" s="57">
        <v>73181105</v>
      </c>
      <c r="B16680" s="58" t="s">
        <v>13024</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17224</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17231</v>
      </c>
    </row>
    <row r="16690" spans="1:2" x14ac:dyDescent="0.25">
      <c r="A16690" s="57">
        <v>73181303</v>
      </c>
      <c r="B16690" s="58" t="s">
        <v>9072</v>
      </c>
    </row>
    <row r="16691" spans="1:2" x14ac:dyDescent="0.25">
      <c r="A16691" s="57">
        <v>73181304</v>
      </c>
      <c r="B16691" s="58" t="s">
        <v>5964</v>
      </c>
    </row>
    <row r="16692" spans="1:2" x14ac:dyDescent="0.25">
      <c r="A16692" s="57">
        <v>73181901</v>
      </c>
      <c r="B16692" s="58" t="s">
        <v>13212</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11966</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9883</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11337</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13216</v>
      </c>
    </row>
    <row r="16710" spans="1:2" x14ac:dyDescent="0.25">
      <c r="A16710" s="57">
        <v>76111602</v>
      </c>
      <c r="B16710" s="58" t="s">
        <v>16387</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13931</v>
      </c>
    </row>
    <row r="16715" spans="1:2" x14ac:dyDescent="0.25">
      <c r="A16715" s="57">
        <v>76111702</v>
      </c>
      <c r="B16715" s="58" t="s">
        <v>5520</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10534</v>
      </c>
    </row>
    <row r="16720" spans="1:2" x14ac:dyDescent="0.25">
      <c r="A16720" s="57">
        <v>76121601</v>
      </c>
      <c r="B16720" s="58" t="s">
        <v>15514</v>
      </c>
    </row>
    <row r="16721" spans="1:2" x14ac:dyDescent="0.25">
      <c r="A16721" s="57">
        <v>76121602</v>
      </c>
      <c r="B16721" s="58" t="s">
        <v>12030</v>
      </c>
    </row>
    <row r="16722" spans="1:2" x14ac:dyDescent="0.25">
      <c r="A16722" s="57">
        <v>76121603</v>
      </c>
      <c r="B16722" s="58" t="s">
        <v>13433</v>
      </c>
    </row>
    <row r="16723" spans="1:2" x14ac:dyDescent="0.25">
      <c r="A16723" s="57">
        <v>76121604</v>
      </c>
      <c r="B16723" s="58" t="s">
        <v>4365</v>
      </c>
    </row>
    <row r="16724" spans="1:2" x14ac:dyDescent="0.25">
      <c r="A16724" s="57">
        <v>76121701</v>
      </c>
      <c r="B16724" s="58" t="s">
        <v>12918</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4943</v>
      </c>
    </row>
    <row r="16737" spans="1:2" x14ac:dyDescent="0.25">
      <c r="A16737" s="57">
        <v>77101502</v>
      </c>
      <c r="B16737" s="58" t="s">
        <v>12583</v>
      </c>
    </row>
    <row r="16738" spans="1:2" x14ac:dyDescent="0.25">
      <c r="A16738" s="57">
        <v>77101503</v>
      </c>
      <c r="B16738" s="58" t="s">
        <v>1170</v>
      </c>
    </row>
    <row r="16739" spans="1:2" x14ac:dyDescent="0.25">
      <c r="A16739" s="57">
        <v>77101504</v>
      </c>
      <c r="B16739" s="58" t="s">
        <v>12434</v>
      </c>
    </row>
    <row r="16740" spans="1:2" x14ac:dyDescent="0.25">
      <c r="A16740" s="57">
        <v>77101505</v>
      </c>
      <c r="B16740" s="58" t="s">
        <v>11508</v>
      </c>
    </row>
    <row r="16741" spans="1:2" x14ac:dyDescent="0.25">
      <c r="A16741" s="57">
        <v>77101601</v>
      </c>
      <c r="B16741" s="58" t="s">
        <v>10580</v>
      </c>
    </row>
    <row r="16742" spans="1:2" x14ac:dyDescent="0.25">
      <c r="A16742" s="57">
        <v>77101602</v>
      </c>
      <c r="B16742" s="58" t="s">
        <v>14104</v>
      </c>
    </row>
    <row r="16743" spans="1:2" x14ac:dyDescent="0.25">
      <c r="A16743" s="57">
        <v>77101603</v>
      </c>
      <c r="B16743" s="58" t="s">
        <v>11260</v>
      </c>
    </row>
    <row r="16744" spans="1:2" x14ac:dyDescent="0.25">
      <c r="A16744" s="57">
        <v>77101604</v>
      </c>
      <c r="B16744" s="58" t="s">
        <v>11822</v>
      </c>
    </row>
    <row r="16745" spans="1:2" x14ac:dyDescent="0.25">
      <c r="A16745" s="57">
        <v>77101605</v>
      </c>
      <c r="B16745" s="58" t="s">
        <v>12949</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12014</v>
      </c>
    </row>
    <row r="16753" spans="1:2" x14ac:dyDescent="0.25">
      <c r="A16753" s="57">
        <v>77101801</v>
      </c>
      <c r="B16753" s="58" t="s">
        <v>12806</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13877</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12070</v>
      </c>
    </row>
    <row r="16768" spans="1:2" x14ac:dyDescent="0.25">
      <c r="A16768" s="57">
        <v>77101910</v>
      </c>
      <c r="B16768" s="58" t="s">
        <v>13065</v>
      </c>
    </row>
    <row r="16769" spans="1:2" x14ac:dyDescent="0.25">
      <c r="A16769" s="57">
        <v>77111501</v>
      </c>
      <c r="B16769" s="58" t="s">
        <v>5633</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11224</v>
      </c>
    </row>
    <row r="16785" spans="1:2" x14ac:dyDescent="0.25">
      <c r="A16785" s="57">
        <v>77121506</v>
      </c>
      <c r="B16785" s="58" t="s">
        <v>10139</v>
      </c>
    </row>
    <row r="16786" spans="1:2" x14ac:dyDescent="0.25">
      <c r="A16786" s="57">
        <v>77121507</v>
      </c>
      <c r="B16786" s="58" t="s">
        <v>6742</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15699</v>
      </c>
    </row>
    <row r="16791" spans="1:2" x14ac:dyDescent="0.25">
      <c r="A16791" s="57">
        <v>77121603</v>
      </c>
      <c r="B16791" s="58" t="s">
        <v>11810</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11275</v>
      </c>
    </row>
    <row r="16805" spans="1:2" x14ac:dyDescent="0.25">
      <c r="A16805" s="57">
        <v>77121707</v>
      </c>
      <c r="B16805" s="58" t="s">
        <v>11420</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13299</v>
      </c>
    </row>
    <row r="16813" spans="1:2" x14ac:dyDescent="0.25">
      <c r="A16813" s="57">
        <v>77131603</v>
      </c>
      <c r="B16813" s="58" t="s">
        <v>9491</v>
      </c>
    </row>
    <row r="16814" spans="1:2" x14ac:dyDescent="0.25">
      <c r="A16814" s="57">
        <v>77131604</v>
      </c>
      <c r="B16814" s="58" t="s">
        <v>11149</v>
      </c>
    </row>
    <row r="16815" spans="1:2" x14ac:dyDescent="0.25">
      <c r="A16815" s="57">
        <v>77131701</v>
      </c>
      <c r="B16815" s="58" t="s">
        <v>18428</v>
      </c>
    </row>
    <row r="16816" spans="1:2" x14ac:dyDescent="0.25">
      <c r="A16816" s="57">
        <v>77131702</v>
      </c>
      <c r="B16816" s="58" t="s">
        <v>11674</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10915</v>
      </c>
    </row>
    <row r="16827" spans="1:2" x14ac:dyDescent="0.25">
      <c r="A16827" s="57">
        <v>78101704</v>
      </c>
      <c r="B16827" s="58" t="s">
        <v>1533</v>
      </c>
    </row>
    <row r="16828" spans="1:2" x14ac:dyDescent="0.25">
      <c r="A16828" s="57">
        <v>78101705</v>
      </c>
      <c r="B16828" s="58" t="s">
        <v>10082</v>
      </c>
    </row>
    <row r="16829" spans="1:2" x14ac:dyDescent="0.25">
      <c r="A16829" s="57">
        <v>78101801</v>
      </c>
      <c r="B16829" s="58" t="s">
        <v>5241</v>
      </c>
    </row>
    <row r="16830" spans="1:2" x14ac:dyDescent="0.25">
      <c r="A16830" s="57">
        <v>78101802</v>
      </c>
      <c r="B16830" s="58" t="s">
        <v>13807</v>
      </c>
    </row>
    <row r="16831" spans="1:2" x14ac:dyDescent="0.25">
      <c r="A16831" s="57">
        <v>78101803</v>
      </c>
      <c r="B16831" s="58" t="s">
        <v>9884</v>
      </c>
    </row>
    <row r="16832" spans="1:2" x14ac:dyDescent="0.25">
      <c r="A16832" s="57">
        <v>78101804</v>
      </c>
      <c r="B16832" s="58" t="s">
        <v>4301</v>
      </c>
    </row>
    <row r="16833" spans="1:2" x14ac:dyDescent="0.25">
      <c r="A16833" s="57">
        <v>78101901</v>
      </c>
      <c r="B16833" s="58" t="s">
        <v>10510</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5916</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9965</v>
      </c>
    </row>
    <row r="16842" spans="1:2" x14ac:dyDescent="0.25">
      <c r="A16842" s="57">
        <v>78102201</v>
      </c>
      <c r="B16842" s="58" t="s">
        <v>9614</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12613</v>
      </c>
    </row>
    <row r="16846" spans="1:2" x14ac:dyDescent="0.25">
      <c r="A16846" s="57">
        <v>78102205</v>
      </c>
      <c r="B16846" s="58" t="s">
        <v>10259</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12189</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10941</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11354</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12794</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13949</v>
      </c>
    </row>
    <row r="16872" spans="1:2" x14ac:dyDescent="0.25">
      <c r="A16872" s="57">
        <v>78131603</v>
      </c>
      <c r="B16872" s="58" t="s">
        <v>8483</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12729</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12082</v>
      </c>
    </row>
    <row r="16881" spans="1:2" x14ac:dyDescent="0.25">
      <c r="A16881" s="57">
        <v>78141503</v>
      </c>
      <c r="B16881" s="58" t="s">
        <v>9877</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9834</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5897</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11452</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11770</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10437</v>
      </c>
    </row>
    <row r="16911" spans="1:2" x14ac:dyDescent="0.25">
      <c r="A16911" s="57">
        <v>80101701</v>
      </c>
      <c r="B16911" s="58" t="s">
        <v>15676</v>
      </c>
    </row>
    <row r="16912" spans="1:2" x14ac:dyDescent="0.25">
      <c r="A16912" s="57">
        <v>80101702</v>
      </c>
      <c r="B16912" s="58" t="s">
        <v>10156</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12373</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9994</v>
      </c>
    </row>
    <row r="16920" spans="1:2" x14ac:dyDescent="0.25">
      <c r="A16920" s="57">
        <v>80111503</v>
      </c>
      <c r="B16920" s="58" t="s">
        <v>9636</v>
      </c>
    </row>
    <row r="16921" spans="1:2" x14ac:dyDescent="0.25">
      <c r="A16921" s="57">
        <v>80111504</v>
      </c>
      <c r="B16921" s="58" t="s">
        <v>10331</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9956</v>
      </c>
    </row>
    <row r="16936" spans="1:2" x14ac:dyDescent="0.25">
      <c r="A16936" s="57">
        <v>80111611</v>
      </c>
      <c r="B16936" s="58" t="s">
        <v>12519</v>
      </c>
    </row>
    <row r="16937" spans="1:2" x14ac:dyDescent="0.25">
      <c r="A16937" s="57">
        <v>80111612</v>
      </c>
      <c r="B16937" s="58" t="s">
        <v>10656</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14212</v>
      </c>
    </row>
    <row r="16947" spans="1:2" x14ac:dyDescent="0.25">
      <c r="A16947" s="57">
        <v>80111703</v>
      </c>
      <c r="B16947" s="58" t="s">
        <v>10473</v>
      </c>
    </row>
    <row r="16948" spans="1:2" x14ac:dyDescent="0.25">
      <c r="A16948" s="57">
        <v>80111704</v>
      </c>
      <c r="B16948" s="58" t="s">
        <v>9403</v>
      </c>
    </row>
    <row r="16949" spans="1:2" x14ac:dyDescent="0.25">
      <c r="A16949" s="57">
        <v>80111705</v>
      </c>
      <c r="B16949" s="58" t="s">
        <v>12442</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12116</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12784</v>
      </c>
    </row>
    <row r="16969" spans="1:2" x14ac:dyDescent="0.25">
      <c r="A16969" s="57">
        <v>80121605</v>
      </c>
      <c r="B16969" s="58" t="s">
        <v>1108</v>
      </c>
    </row>
    <row r="16970" spans="1:2" x14ac:dyDescent="0.25">
      <c r="A16970" s="57">
        <v>80121606</v>
      </c>
      <c r="B16970" s="58" t="s">
        <v>12720</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10855</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11461</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9820</v>
      </c>
    </row>
    <row r="16986" spans="1:2" x14ac:dyDescent="0.25">
      <c r="A16986" s="57">
        <v>80121804</v>
      </c>
      <c r="B16986" s="58" t="s">
        <v>10501</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11992</v>
      </c>
    </row>
    <row r="16994" spans="1:2" x14ac:dyDescent="0.25">
      <c r="A16994" s="57">
        <v>80131605</v>
      </c>
      <c r="B16994" s="58" t="s">
        <v>839</v>
      </c>
    </row>
    <row r="16995" spans="1:2" x14ac:dyDescent="0.25">
      <c r="A16995" s="57">
        <v>80131701</v>
      </c>
      <c r="B16995" s="58" t="s">
        <v>10562</v>
      </c>
    </row>
    <row r="16996" spans="1:2" x14ac:dyDescent="0.25">
      <c r="A16996" s="57">
        <v>80131702</v>
      </c>
      <c r="B16996" s="58" t="s">
        <v>12686</v>
      </c>
    </row>
    <row r="16997" spans="1:2" x14ac:dyDescent="0.25">
      <c r="A16997" s="57">
        <v>80131703</v>
      </c>
      <c r="B16997" s="58" t="s">
        <v>2014</v>
      </c>
    </row>
    <row r="16998" spans="1:2" x14ac:dyDescent="0.25">
      <c r="A16998" s="57">
        <v>80131801</v>
      </c>
      <c r="B16998" s="58" t="s">
        <v>12431</v>
      </c>
    </row>
    <row r="16999" spans="1:2" x14ac:dyDescent="0.25">
      <c r="A16999" s="57">
        <v>80131802</v>
      </c>
      <c r="B16999" s="58" t="s">
        <v>11343</v>
      </c>
    </row>
    <row r="17000" spans="1:2" x14ac:dyDescent="0.25">
      <c r="A17000" s="57">
        <v>80131803</v>
      </c>
      <c r="B17000" s="58" t="s">
        <v>9623</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10044</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9992</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9840</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10798</v>
      </c>
    </row>
    <row r="17031" spans="1:2" x14ac:dyDescent="0.25">
      <c r="A17031" s="57">
        <v>80141618</v>
      </c>
      <c r="B17031" s="58" t="s">
        <v>3043</v>
      </c>
    </row>
    <row r="17032" spans="1:2" x14ac:dyDescent="0.25">
      <c r="A17032" s="57">
        <v>80141619</v>
      </c>
      <c r="B17032" s="58" t="s">
        <v>10671</v>
      </c>
    </row>
    <row r="17033" spans="1:2" x14ac:dyDescent="0.25">
      <c r="A17033" s="57">
        <v>80141620</v>
      </c>
      <c r="B17033" s="58" t="s">
        <v>13466</v>
      </c>
    </row>
    <row r="17034" spans="1:2" x14ac:dyDescent="0.25">
      <c r="A17034" s="57">
        <v>80141621</v>
      </c>
      <c r="B17034" s="58" t="s">
        <v>9709</v>
      </c>
    </row>
    <row r="17035" spans="1:2" x14ac:dyDescent="0.25">
      <c r="A17035" s="57">
        <v>80141622</v>
      </c>
      <c r="B17035" s="58" t="s">
        <v>11334</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12536</v>
      </c>
    </row>
    <row r="17042" spans="1:2" x14ac:dyDescent="0.25">
      <c r="A17042" s="57">
        <v>80141802</v>
      </c>
      <c r="B17042" s="58" t="s">
        <v>12598</v>
      </c>
    </row>
    <row r="17043" spans="1:2" x14ac:dyDescent="0.25">
      <c r="A17043" s="57">
        <v>80141803</v>
      </c>
      <c r="B17043" s="58" t="s">
        <v>6491</v>
      </c>
    </row>
    <row r="17044" spans="1:2" x14ac:dyDescent="0.25">
      <c r="A17044" s="57">
        <v>80141901</v>
      </c>
      <c r="B17044" s="58" t="s">
        <v>10284</v>
      </c>
    </row>
    <row r="17045" spans="1:2" x14ac:dyDescent="0.25">
      <c r="A17045" s="57">
        <v>80141902</v>
      </c>
      <c r="B17045" s="58" t="s">
        <v>12605</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7370</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11074</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11670</v>
      </c>
    </row>
    <row r="17060" spans="1:2" x14ac:dyDescent="0.25">
      <c r="A17060" s="57">
        <v>80161505</v>
      </c>
      <c r="B17060" s="58" t="s">
        <v>6517</v>
      </c>
    </row>
    <row r="17061" spans="1:2" x14ac:dyDescent="0.25">
      <c r="A17061" s="57">
        <v>80161506</v>
      </c>
      <c r="B17061" s="58" t="s">
        <v>12504</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12752</v>
      </c>
    </row>
    <row r="17070" spans="1:2" x14ac:dyDescent="0.25">
      <c r="A17070" s="57">
        <v>81101505</v>
      </c>
      <c r="B17070" s="58" t="s">
        <v>254</v>
      </c>
    </row>
    <row r="17071" spans="1:2" x14ac:dyDescent="0.25">
      <c r="A17071" s="57">
        <v>81101506</v>
      </c>
      <c r="B17071" s="58" t="s">
        <v>12623</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12217</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6103</v>
      </c>
    </row>
    <row r="17088" spans="1:2" x14ac:dyDescent="0.25">
      <c r="A17088" s="57">
        <v>81101902</v>
      </c>
      <c r="B17088" s="58" t="s">
        <v>11727</v>
      </c>
    </row>
    <row r="17089" spans="1:2" x14ac:dyDescent="0.25">
      <c r="A17089" s="57">
        <v>81102001</v>
      </c>
      <c r="B17089" s="58" t="s">
        <v>11467</v>
      </c>
    </row>
    <row r="17090" spans="1:2" x14ac:dyDescent="0.25">
      <c r="A17090" s="57">
        <v>81102101</v>
      </c>
      <c r="B17090" s="58" t="s">
        <v>13115</v>
      </c>
    </row>
    <row r="17091" spans="1:2" x14ac:dyDescent="0.25">
      <c r="A17091" s="57">
        <v>81102201</v>
      </c>
      <c r="B17091" s="58" t="s">
        <v>11226</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10712</v>
      </c>
    </row>
    <row r="17104" spans="1:2" x14ac:dyDescent="0.25">
      <c r="A17104" s="57">
        <v>81111510</v>
      </c>
      <c r="B17104" s="58" t="s">
        <v>10068</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11890</v>
      </c>
    </row>
    <row r="17110" spans="1:2" x14ac:dyDescent="0.25">
      <c r="A17110" s="57">
        <v>81111606</v>
      </c>
      <c r="B17110" s="58" t="s">
        <v>12816</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11790</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12262</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6282</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12862</v>
      </c>
    </row>
    <row r="17130" spans="1:2" x14ac:dyDescent="0.25">
      <c r="A17130" s="57">
        <v>81111808</v>
      </c>
      <c r="B17130" s="58" t="s">
        <v>11881</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14642</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12115</v>
      </c>
    </row>
    <row r="17139" spans="1:2" x14ac:dyDescent="0.25">
      <c r="A17139" s="57">
        <v>81112001</v>
      </c>
      <c r="B17139" s="58" t="s">
        <v>13745</v>
      </c>
    </row>
    <row r="17140" spans="1:2" x14ac:dyDescent="0.25">
      <c r="A17140" s="57">
        <v>81112002</v>
      </c>
      <c r="B17140" s="58" t="s">
        <v>8005</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12626</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14265</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14010</v>
      </c>
    </row>
    <row r="17159" spans="1:2" x14ac:dyDescent="0.25">
      <c r="A17159" s="57">
        <v>81121502</v>
      </c>
      <c r="B17159" s="58" t="s">
        <v>4746</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11958</v>
      </c>
    </row>
    <row r="17167" spans="1:2" x14ac:dyDescent="0.25">
      <c r="A17167" s="57">
        <v>81121606</v>
      </c>
      <c r="B17167" s="58" t="s">
        <v>8876</v>
      </c>
    </row>
    <row r="17168" spans="1:2" x14ac:dyDescent="0.25">
      <c r="A17168" s="57">
        <v>81121607</v>
      </c>
      <c r="B17168" s="58" t="s">
        <v>11110</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8750</v>
      </c>
    </row>
    <row r="17172" spans="1:2" x14ac:dyDescent="0.25">
      <c r="A17172" s="57">
        <v>81131504</v>
      </c>
      <c r="B17172" s="58" t="s">
        <v>12446</v>
      </c>
    </row>
    <row r="17173" spans="1:2" x14ac:dyDescent="0.25">
      <c r="A17173" s="57">
        <v>81131505</v>
      </c>
      <c r="B17173" s="58" t="s">
        <v>256</v>
      </c>
    </row>
    <row r="17174" spans="1:2" x14ac:dyDescent="0.25">
      <c r="A17174" s="57">
        <v>81141501</v>
      </c>
      <c r="B17174" s="58" t="s">
        <v>12454</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10555</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12291</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9907</v>
      </c>
    </row>
    <row r="17203" spans="1:2" x14ac:dyDescent="0.25">
      <c r="A17203" s="57">
        <v>81151604</v>
      </c>
      <c r="B17203" s="58" t="s">
        <v>3848</v>
      </c>
    </row>
    <row r="17204" spans="1:2" x14ac:dyDescent="0.25">
      <c r="A17204" s="57">
        <v>81151701</v>
      </c>
      <c r="B17204" s="58" t="s">
        <v>12876</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11576</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12615</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12872</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10766</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13081</v>
      </c>
    </row>
    <row r="17236" spans="1:2" x14ac:dyDescent="0.25">
      <c r="A17236" s="57">
        <v>82101903</v>
      </c>
      <c r="B17236" s="58" t="s">
        <v>10943</v>
      </c>
    </row>
    <row r="17237" spans="1:2" x14ac:dyDescent="0.25">
      <c r="A17237" s="57">
        <v>82101904</v>
      </c>
      <c r="B17237" s="58" t="s">
        <v>4461</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10564</v>
      </c>
    </row>
    <row r="17243" spans="1:2" x14ac:dyDescent="0.25">
      <c r="A17243" s="57">
        <v>82111602</v>
      </c>
      <c r="B17243" s="58" t="s">
        <v>4080</v>
      </c>
    </row>
    <row r="17244" spans="1:2" x14ac:dyDescent="0.25">
      <c r="A17244" s="57">
        <v>82111603</v>
      </c>
      <c r="B17244" s="58" t="s">
        <v>9959</v>
      </c>
    </row>
    <row r="17245" spans="1:2" x14ac:dyDescent="0.25">
      <c r="A17245" s="57">
        <v>82111604</v>
      </c>
      <c r="B17245" s="58" t="s">
        <v>13539</v>
      </c>
    </row>
    <row r="17246" spans="1:2" x14ac:dyDescent="0.25">
      <c r="A17246" s="57">
        <v>82111701</v>
      </c>
      <c r="B17246" s="58" t="s">
        <v>10442</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12002</v>
      </c>
    </row>
    <row r="17256" spans="1:2" x14ac:dyDescent="0.25">
      <c r="A17256" s="57">
        <v>82111902</v>
      </c>
      <c r="B17256" s="58" t="s">
        <v>17640</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10160</v>
      </c>
    </row>
    <row r="17261" spans="1:2" x14ac:dyDescent="0.25">
      <c r="A17261" s="57">
        <v>82121503</v>
      </c>
      <c r="B17261" s="58" t="s">
        <v>12532</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12367</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11891</v>
      </c>
    </row>
    <row r="17274" spans="1:2" x14ac:dyDescent="0.25">
      <c r="A17274" s="57">
        <v>82121701</v>
      </c>
      <c r="B17274" s="58" t="s">
        <v>5801</v>
      </c>
    </row>
    <row r="17275" spans="1:2" x14ac:dyDescent="0.25">
      <c r="A17275" s="57">
        <v>82121702</v>
      </c>
      <c r="B17275" s="58" t="s">
        <v>12259</v>
      </c>
    </row>
    <row r="17276" spans="1:2" x14ac:dyDescent="0.25">
      <c r="A17276" s="57">
        <v>82121801</v>
      </c>
      <c r="B17276" s="58" t="s">
        <v>13089</v>
      </c>
    </row>
    <row r="17277" spans="1:2" x14ac:dyDescent="0.25">
      <c r="A17277" s="57">
        <v>82121802</v>
      </c>
      <c r="B17277" s="58" t="s">
        <v>11151</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10426</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11538</v>
      </c>
    </row>
    <row r="17312" spans="1:2" x14ac:dyDescent="0.25">
      <c r="A17312" s="57">
        <v>82151602</v>
      </c>
      <c r="B17312" s="58" t="s">
        <v>15298</v>
      </c>
    </row>
    <row r="17313" spans="1:2" x14ac:dyDescent="0.25">
      <c r="A17313" s="57">
        <v>82151603</v>
      </c>
      <c r="B17313" s="58" t="s">
        <v>12976</v>
      </c>
    </row>
    <row r="17314" spans="1:2" x14ac:dyDescent="0.25">
      <c r="A17314" s="57">
        <v>82151604</v>
      </c>
      <c r="B17314" s="58" t="s">
        <v>11637</v>
      </c>
    </row>
    <row r="17315" spans="1:2" x14ac:dyDescent="0.25">
      <c r="A17315" s="57">
        <v>82151701</v>
      </c>
      <c r="B17315" s="58" t="s">
        <v>18452</v>
      </c>
    </row>
    <row r="17316" spans="1:2" x14ac:dyDescent="0.25">
      <c r="A17316" s="57">
        <v>82151702</v>
      </c>
      <c r="B17316" s="58" t="s">
        <v>11315</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10650</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11369</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13055</v>
      </c>
    </row>
    <row r="17337" spans="1:2" x14ac:dyDescent="0.25">
      <c r="A17337" s="57">
        <v>83101802</v>
      </c>
      <c r="B17337" s="58" t="s">
        <v>11247</v>
      </c>
    </row>
    <row r="17338" spans="1:2" x14ac:dyDescent="0.25">
      <c r="A17338" s="57">
        <v>83101803</v>
      </c>
      <c r="B17338" s="58" t="s">
        <v>10993</v>
      </c>
    </row>
    <row r="17339" spans="1:2" x14ac:dyDescent="0.25">
      <c r="A17339" s="57">
        <v>83101804</v>
      </c>
      <c r="B17339" s="58" t="s">
        <v>13990</v>
      </c>
    </row>
    <row r="17340" spans="1:2" x14ac:dyDescent="0.25">
      <c r="A17340" s="57">
        <v>83101805</v>
      </c>
      <c r="B17340" s="58" t="s">
        <v>9621</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12917</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6634</v>
      </c>
    </row>
    <row r="17357" spans="1:2" x14ac:dyDescent="0.25">
      <c r="A17357" s="57">
        <v>83111511</v>
      </c>
      <c r="B17357" s="58" t="s">
        <v>11587</v>
      </c>
    </row>
    <row r="17358" spans="1:2" x14ac:dyDescent="0.25">
      <c r="A17358" s="57">
        <v>83111601</v>
      </c>
      <c r="B17358" s="58" t="s">
        <v>14441</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8076</v>
      </c>
    </row>
    <row r="17363" spans="1:2" x14ac:dyDescent="0.25">
      <c r="A17363" s="57">
        <v>83111701</v>
      </c>
      <c r="B17363" s="58" t="s">
        <v>9917</v>
      </c>
    </row>
    <row r="17364" spans="1:2" x14ac:dyDescent="0.25">
      <c r="A17364" s="57">
        <v>83111702</v>
      </c>
      <c r="B17364" s="58" t="s">
        <v>9711</v>
      </c>
    </row>
    <row r="17365" spans="1:2" x14ac:dyDescent="0.25">
      <c r="A17365" s="57">
        <v>83111703</v>
      </c>
      <c r="B17365" s="58" t="s">
        <v>4838</v>
      </c>
    </row>
    <row r="17366" spans="1:2" x14ac:dyDescent="0.25">
      <c r="A17366" s="57">
        <v>83111801</v>
      </c>
      <c r="B17366" s="58" t="s">
        <v>10970</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13232</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10805</v>
      </c>
    </row>
    <row r="17375" spans="1:2" x14ac:dyDescent="0.25">
      <c r="A17375" s="57">
        <v>83112201</v>
      </c>
      <c r="B17375" s="58" t="s">
        <v>10913</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12528</v>
      </c>
    </row>
    <row r="17382" spans="1:2" x14ac:dyDescent="0.25">
      <c r="A17382" s="57">
        <v>83112303</v>
      </c>
      <c r="B17382" s="58" t="s">
        <v>14651</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6204</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12616</v>
      </c>
    </row>
    <row r="17393" spans="1:2" x14ac:dyDescent="0.25">
      <c r="A17393" s="57">
        <v>83112504</v>
      </c>
      <c r="B17393" s="58" t="s">
        <v>8434</v>
      </c>
    </row>
    <row r="17394" spans="1:2" x14ac:dyDescent="0.25">
      <c r="A17394" s="57">
        <v>83112505</v>
      </c>
      <c r="B17394" s="58" t="s">
        <v>11963</v>
      </c>
    </row>
    <row r="17395" spans="1:2" x14ac:dyDescent="0.25">
      <c r="A17395" s="57">
        <v>83112601</v>
      </c>
      <c r="B17395" s="58" t="s">
        <v>10509</v>
      </c>
    </row>
    <row r="17396" spans="1:2" x14ac:dyDescent="0.25">
      <c r="A17396" s="57">
        <v>83112602</v>
      </c>
      <c r="B17396" s="58" t="s">
        <v>544</v>
      </c>
    </row>
    <row r="17397" spans="1:2" x14ac:dyDescent="0.25">
      <c r="A17397" s="57">
        <v>83112603</v>
      </c>
      <c r="B17397" s="58" t="s">
        <v>11527</v>
      </c>
    </row>
    <row r="17398" spans="1:2" x14ac:dyDescent="0.25">
      <c r="A17398" s="57">
        <v>83112604</v>
      </c>
      <c r="B17398" s="58" t="s">
        <v>5035</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11702</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10141</v>
      </c>
    </row>
    <row r="17420" spans="1:2" x14ac:dyDescent="0.25">
      <c r="A17420" s="57">
        <v>84101604</v>
      </c>
      <c r="B17420" s="58" t="s">
        <v>13175</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10069</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6045</v>
      </c>
    </row>
    <row r="17435" spans="1:2" x14ac:dyDescent="0.25">
      <c r="A17435" s="57">
        <v>84111603</v>
      </c>
      <c r="B17435" s="58" t="s">
        <v>8036</v>
      </c>
    </row>
    <row r="17436" spans="1:2" x14ac:dyDescent="0.25">
      <c r="A17436" s="57">
        <v>84111701</v>
      </c>
      <c r="B17436" s="58" t="s">
        <v>9807</v>
      </c>
    </row>
    <row r="17437" spans="1:2" x14ac:dyDescent="0.25">
      <c r="A17437" s="57">
        <v>84111702</v>
      </c>
      <c r="B17437" s="58" t="s">
        <v>12094</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14179</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12972</v>
      </c>
    </row>
    <row r="17450" spans="1:2" x14ac:dyDescent="0.25">
      <c r="A17450" s="57">
        <v>84121606</v>
      </c>
      <c r="B17450" s="58" t="s">
        <v>8113</v>
      </c>
    </row>
    <row r="17451" spans="1:2" x14ac:dyDescent="0.25">
      <c r="A17451" s="57">
        <v>84121607</v>
      </c>
      <c r="B17451" s="58" t="s">
        <v>11301</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12452</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12814</v>
      </c>
    </row>
    <row r="17458" spans="1:2" x14ac:dyDescent="0.25">
      <c r="A17458" s="57">
        <v>84121802</v>
      </c>
      <c r="B17458" s="58" t="s">
        <v>12420</v>
      </c>
    </row>
    <row r="17459" spans="1:2" x14ac:dyDescent="0.25">
      <c r="A17459" s="57">
        <v>84121803</v>
      </c>
      <c r="B17459" s="58" t="s">
        <v>8872</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10978</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15627</v>
      </c>
    </row>
    <row r="17469" spans="1:2" x14ac:dyDescent="0.25">
      <c r="A17469" s="57">
        <v>84131503</v>
      </c>
      <c r="B17469" s="58" t="s">
        <v>10389</v>
      </c>
    </row>
    <row r="17470" spans="1:2" x14ac:dyDescent="0.25">
      <c r="A17470" s="57">
        <v>84131504</v>
      </c>
      <c r="B17470" s="58" t="s">
        <v>7893</v>
      </c>
    </row>
    <row r="17471" spans="1:2" x14ac:dyDescent="0.25">
      <c r="A17471" s="57">
        <v>84131505</v>
      </c>
      <c r="B17471" s="58" t="s">
        <v>5881</v>
      </c>
    </row>
    <row r="17472" spans="1:2" x14ac:dyDescent="0.25">
      <c r="A17472" s="57">
        <v>84131506</v>
      </c>
      <c r="B17472" s="58" t="s">
        <v>11681</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12861</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13661</v>
      </c>
    </row>
    <row r="17487" spans="1:2" x14ac:dyDescent="0.25">
      <c r="A17487" s="57">
        <v>84131604</v>
      </c>
      <c r="B17487" s="58" t="s">
        <v>7562</v>
      </c>
    </row>
    <row r="17488" spans="1:2" x14ac:dyDescent="0.25">
      <c r="A17488" s="57">
        <v>84131605</v>
      </c>
      <c r="B17488" s="58" t="s">
        <v>5860</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4756</v>
      </c>
    </row>
    <row r="17495" spans="1:2" x14ac:dyDescent="0.25">
      <c r="A17495" s="57">
        <v>84131702</v>
      </c>
      <c r="B17495" s="58" t="s">
        <v>10667</v>
      </c>
    </row>
    <row r="17496" spans="1:2" x14ac:dyDescent="0.25">
      <c r="A17496" s="57">
        <v>84131801</v>
      </c>
      <c r="B17496" s="58" t="s">
        <v>16065</v>
      </c>
    </row>
    <row r="17497" spans="1:2" x14ac:dyDescent="0.25">
      <c r="A17497" s="57">
        <v>84131802</v>
      </c>
      <c r="B17497" s="58" t="s">
        <v>12933</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11499</v>
      </c>
    </row>
    <row r="17528" spans="1:2" x14ac:dyDescent="0.25">
      <c r="A17528" s="57">
        <v>85111503</v>
      </c>
      <c r="B17528" s="58" t="s">
        <v>13108</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10625</v>
      </c>
    </row>
    <row r="17537" spans="1:2" x14ac:dyDescent="0.25">
      <c r="A17537" s="57">
        <v>85111512</v>
      </c>
      <c r="B17537" s="58" t="s">
        <v>14469</v>
      </c>
    </row>
    <row r="17538" spans="1:2" x14ac:dyDescent="0.25">
      <c r="A17538" s="57">
        <v>85111513</v>
      </c>
      <c r="B17538" s="58" t="s">
        <v>5252</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9476</v>
      </c>
    </row>
    <row r="17542" spans="1:2" x14ac:dyDescent="0.25">
      <c r="A17542" s="57">
        <v>85111603</v>
      </c>
      <c r="B17542" s="58" t="s">
        <v>11773</v>
      </c>
    </row>
    <row r="17543" spans="1:2" x14ac:dyDescent="0.25">
      <c r="A17543" s="57">
        <v>85111604</v>
      </c>
      <c r="B17543" s="58" t="s">
        <v>16062</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6136</v>
      </c>
    </row>
    <row r="17548" spans="1:2" x14ac:dyDescent="0.25">
      <c r="A17548" s="57">
        <v>85111609</v>
      </c>
      <c r="B17548" s="58" t="s">
        <v>7613</v>
      </c>
    </row>
    <row r="17549" spans="1:2" x14ac:dyDescent="0.25">
      <c r="A17549" s="57">
        <v>85111610</v>
      </c>
      <c r="B17549" s="58" t="s">
        <v>9819</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9218</v>
      </c>
    </row>
    <row r="17557" spans="1:2" x14ac:dyDescent="0.25">
      <c r="A17557" s="57">
        <v>85111701</v>
      </c>
      <c r="B17557" s="58" t="s">
        <v>11973</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4905</v>
      </c>
    </row>
    <row r="17568" spans="1:2" x14ac:dyDescent="0.25">
      <c r="A17568" s="57">
        <v>85121604</v>
      </c>
      <c r="B17568" s="58" t="s">
        <v>11383</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11621</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6087</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11833</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12493</v>
      </c>
    </row>
    <row r="17594" spans="1:2" x14ac:dyDescent="0.25">
      <c r="A17594" s="57">
        <v>85121810</v>
      </c>
      <c r="B17594" s="58" t="s">
        <v>4853</v>
      </c>
    </row>
    <row r="17595" spans="1:2" x14ac:dyDescent="0.25">
      <c r="A17595" s="57">
        <v>85121901</v>
      </c>
      <c r="B17595" s="58" t="s">
        <v>12735</v>
      </c>
    </row>
    <row r="17596" spans="1:2" x14ac:dyDescent="0.25">
      <c r="A17596" s="57">
        <v>85121902</v>
      </c>
      <c r="B17596" s="58" t="s">
        <v>1038</v>
      </c>
    </row>
    <row r="17597" spans="1:2" x14ac:dyDescent="0.25">
      <c r="A17597" s="57">
        <v>85122001</v>
      </c>
      <c r="B17597" s="58" t="s">
        <v>12913</v>
      </c>
    </row>
    <row r="17598" spans="1:2" x14ac:dyDescent="0.25">
      <c r="A17598" s="57">
        <v>85122002</v>
      </c>
      <c r="B17598" s="58" t="s">
        <v>8537</v>
      </c>
    </row>
    <row r="17599" spans="1:2" x14ac:dyDescent="0.25">
      <c r="A17599" s="57">
        <v>85122003</v>
      </c>
      <c r="B17599" s="58" t="s">
        <v>14284</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9671</v>
      </c>
    </row>
    <row r="17611" spans="1:2" x14ac:dyDescent="0.25">
      <c r="A17611" s="57">
        <v>85122201</v>
      </c>
      <c r="B17611" s="58" t="s">
        <v>12279</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10643</v>
      </c>
    </row>
    <row r="17616" spans="1:2" x14ac:dyDescent="0.25">
      <c r="A17616" s="57">
        <v>85131505</v>
      </c>
      <c r="B17616" s="58" t="s">
        <v>4070</v>
      </c>
    </row>
    <row r="17617" spans="1:2" x14ac:dyDescent="0.25">
      <c r="A17617" s="57">
        <v>85131601</v>
      </c>
      <c r="B17617" s="58" t="s">
        <v>11836</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11568</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9720</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12051</v>
      </c>
    </row>
    <row r="17635" spans="1:2" x14ac:dyDescent="0.25">
      <c r="A17635" s="57">
        <v>85141502</v>
      </c>
      <c r="B17635" s="58" t="s">
        <v>9524</v>
      </c>
    </row>
    <row r="17636" spans="1:2" x14ac:dyDescent="0.25">
      <c r="A17636" s="57">
        <v>85141503</v>
      </c>
      <c r="B17636" s="58" t="s">
        <v>9815</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10145</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9792</v>
      </c>
    </row>
    <row r="17648" spans="1:2" x14ac:dyDescent="0.25">
      <c r="A17648" s="57">
        <v>85151506</v>
      </c>
      <c r="B17648" s="58" t="s">
        <v>15372</v>
      </c>
    </row>
    <row r="17649" spans="1:2" x14ac:dyDescent="0.25">
      <c r="A17649" s="57">
        <v>85151507</v>
      </c>
      <c r="B17649" s="58" t="s">
        <v>10166</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10200</v>
      </c>
    </row>
    <row r="17657" spans="1:2" x14ac:dyDescent="0.25">
      <c r="A17657" s="57">
        <v>85151606</v>
      </c>
      <c r="B17657" s="58" t="s">
        <v>1644</v>
      </c>
    </row>
    <row r="17658" spans="1:2" x14ac:dyDescent="0.25">
      <c r="A17658" s="57">
        <v>85151607</v>
      </c>
      <c r="B17658" s="58" t="s">
        <v>10820</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9661</v>
      </c>
    </row>
    <row r="17664" spans="1:2" x14ac:dyDescent="0.25">
      <c r="A17664" s="57">
        <v>86101501</v>
      </c>
      <c r="B17664" s="58" t="s">
        <v>17243</v>
      </c>
    </row>
    <row r="17665" spans="1:2" x14ac:dyDescent="0.25">
      <c r="A17665" s="57">
        <v>86101502</v>
      </c>
      <c r="B17665" s="58" t="s">
        <v>9806</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11177</v>
      </c>
    </row>
    <row r="17670" spans="1:2" x14ac:dyDescent="0.25">
      <c r="A17670" s="57">
        <v>86101507</v>
      </c>
      <c r="B17670" s="58" t="s">
        <v>9405</v>
      </c>
    </row>
    <row r="17671" spans="1:2" x14ac:dyDescent="0.25">
      <c r="A17671" s="57">
        <v>86101508</v>
      </c>
      <c r="B17671" s="58" t="s">
        <v>13918</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12573</v>
      </c>
    </row>
    <row r="17678" spans="1:2" x14ac:dyDescent="0.25">
      <c r="A17678" s="57">
        <v>86101606</v>
      </c>
      <c r="B17678" s="58" t="s">
        <v>10700</v>
      </c>
    </row>
    <row r="17679" spans="1:2" x14ac:dyDescent="0.25">
      <c r="A17679" s="57">
        <v>86101607</v>
      </c>
      <c r="B17679" s="58" t="s">
        <v>11429</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10342</v>
      </c>
    </row>
    <row r="17686" spans="1:2" x14ac:dyDescent="0.25">
      <c r="A17686" s="57">
        <v>86101704</v>
      </c>
      <c r="B17686" s="58" t="s">
        <v>13181</v>
      </c>
    </row>
    <row r="17687" spans="1:2" x14ac:dyDescent="0.25">
      <c r="A17687" s="57">
        <v>86101705</v>
      </c>
      <c r="B17687" s="58" t="s">
        <v>10991</v>
      </c>
    </row>
    <row r="17688" spans="1:2" x14ac:dyDescent="0.25">
      <c r="A17688" s="57">
        <v>86101706</v>
      </c>
      <c r="B17688" s="58" t="s">
        <v>12578</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10281</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12743</v>
      </c>
    </row>
    <row r="17706" spans="1:2" x14ac:dyDescent="0.25">
      <c r="A17706" s="57">
        <v>86101808</v>
      </c>
      <c r="B17706" s="58" t="s">
        <v>13509</v>
      </c>
    </row>
    <row r="17707" spans="1:2" x14ac:dyDescent="0.25">
      <c r="A17707" s="57">
        <v>86101809</v>
      </c>
      <c r="B17707" s="58" t="s">
        <v>4623</v>
      </c>
    </row>
    <row r="17708" spans="1:2" x14ac:dyDescent="0.25">
      <c r="A17708" s="57">
        <v>86111501</v>
      </c>
      <c r="B17708" s="58" t="s">
        <v>12005</v>
      </c>
    </row>
    <row r="17709" spans="1:2" x14ac:dyDescent="0.25">
      <c r="A17709" s="57">
        <v>86111502</v>
      </c>
      <c r="B17709" s="58" t="s">
        <v>11685</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14325</v>
      </c>
    </row>
    <row r="17715" spans="1:2" x14ac:dyDescent="0.25">
      <c r="A17715" s="57">
        <v>86111603</v>
      </c>
      <c r="B17715" s="58" t="s">
        <v>9860</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11719</v>
      </c>
    </row>
    <row r="17725" spans="1:2" x14ac:dyDescent="0.25">
      <c r="A17725" s="57">
        <v>86121601</v>
      </c>
      <c r="B17725" s="58" t="s">
        <v>2635</v>
      </c>
    </row>
    <row r="17726" spans="1:2" x14ac:dyDescent="0.25">
      <c r="A17726" s="57">
        <v>86121602</v>
      </c>
      <c r="B17726" s="58" t="s">
        <v>10027</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10293</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11436</v>
      </c>
    </row>
    <row r="17742" spans="1:2" x14ac:dyDescent="0.25">
      <c r="A17742" s="57">
        <v>86131801</v>
      </c>
      <c r="B17742" s="58" t="s">
        <v>10872</v>
      </c>
    </row>
    <row r="17743" spans="1:2" x14ac:dyDescent="0.25">
      <c r="A17743" s="57">
        <v>86131802</v>
      </c>
      <c r="B17743" s="58" t="s">
        <v>10989</v>
      </c>
    </row>
    <row r="17744" spans="1:2" x14ac:dyDescent="0.25">
      <c r="A17744" s="57">
        <v>86131803</v>
      </c>
      <c r="B17744" s="58" t="s">
        <v>6194</v>
      </c>
    </row>
    <row r="17745" spans="1:2" x14ac:dyDescent="0.25">
      <c r="A17745" s="57">
        <v>86131804</v>
      </c>
      <c r="B17745" s="58" t="s">
        <v>11178</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12997</v>
      </c>
    </row>
    <row r="17750" spans="1:2" x14ac:dyDescent="0.25">
      <c r="A17750" s="57">
        <v>86141501</v>
      </c>
      <c r="B17750" s="58" t="s">
        <v>10359</v>
      </c>
    </row>
    <row r="17751" spans="1:2" x14ac:dyDescent="0.25">
      <c r="A17751" s="57">
        <v>86141502</v>
      </c>
      <c r="B17751" s="58" t="s">
        <v>13084</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10154</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11033</v>
      </c>
    </row>
    <row r="17762" spans="1:2" x14ac:dyDescent="0.25">
      <c r="A17762" s="57">
        <v>90101502</v>
      </c>
      <c r="B17762" s="58" t="s">
        <v>3308</v>
      </c>
    </row>
    <row r="17763" spans="1:2" x14ac:dyDescent="0.25">
      <c r="A17763" s="57">
        <v>90101503</v>
      </c>
      <c r="B17763" s="58" t="s">
        <v>12314</v>
      </c>
    </row>
    <row r="17764" spans="1:2" x14ac:dyDescent="0.25">
      <c r="A17764" s="57">
        <v>90101504</v>
      </c>
      <c r="B17764" s="58" t="s">
        <v>1721</v>
      </c>
    </row>
    <row r="17765" spans="1:2" x14ac:dyDescent="0.25">
      <c r="A17765" s="57">
        <v>90101601</v>
      </c>
      <c r="B17765" s="58" t="s">
        <v>9989</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10386</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12006</v>
      </c>
    </row>
    <row r="17778" spans="1:2" x14ac:dyDescent="0.25">
      <c r="A17778" s="57">
        <v>90111603</v>
      </c>
      <c r="B17778" s="58" t="s">
        <v>14275</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10741</v>
      </c>
    </row>
    <row r="17784" spans="1:2" x14ac:dyDescent="0.25">
      <c r="A17784" s="57">
        <v>90111802</v>
      </c>
      <c r="B17784" s="58" t="s">
        <v>12755</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12105</v>
      </c>
    </row>
    <row r="17790" spans="1:2" x14ac:dyDescent="0.25">
      <c r="A17790" s="57">
        <v>90121602</v>
      </c>
      <c r="B17790" s="58" t="s">
        <v>4822</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12295</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9835</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9831</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11692</v>
      </c>
    </row>
    <row r="17821" spans="1:2" x14ac:dyDescent="0.25">
      <c r="A17821" s="57">
        <v>90151902</v>
      </c>
      <c r="B17821" s="58" t="s">
        <v>11308</v>
      </c>
    </row>
    <row r="17822" spans="1:2" x14ac:dyDescent="0.25">
      <c r="A17822" s="57">
        <v>90151903</v>
      </c>
      <c r="B17822" s="58" t="s">
        <v>15936</v>
      </c>
    </row>
    <row r="17823" spans="1:2" x14ac:dyDescent="0.25">
      <c r="A17823" s="57">
        <v>90152001</v>
      </c>
      <c r="B17823" s="58" t="s">
        <v>10826</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11338</v>
      </c>
    </row>
    <row r="17834" spans="1:2" x14ac:dyDescent="0.25">
      <c r="A17834" s="57">
        <v>91101604</v>
      </c>
      <c r="B17834" s="58" t="s">
        <v>8904</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11460</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12856</v>
      </c>
    </row>
    <row r="17849" spans="1:2" x14ac:dyDescent="0.25">
      <c r="A17849" s="57">
        <v>91111602</v>
      </c>
      <c r="B17849" s="58" t="s">
        <v>7952</v>
      </c>
    </row>
    <row r="17850" spans="1:2" x14ac:dyDescent="0.25">
      <c r="A17850" s="57">
        <v>91111603</v>
      </c>
      <c r="B17850" s="58" t="s">
        <v>14073</v>
      </c>
    </row>
    <row r="17851" spans="1:2" x14ac:dyDescent="0.25">
      <c r="A17851" s="57">
        <v>91111701</v>
      </c>
      <c r="B17851" s="58" t="s">
        <v>5246</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12328</v>
      </c>
    </row>
    <row r="17856" spans="1:2" x14ac:dyDescent="0.25">
      <c r="A17856" s="57">
        <v>91111803</v>
      </c>
      <c r="B17856" s="58" t="s">
        <v>1668</v>
      </c>
    </row>
    <row r="17857" spans="1:2" x14ac:dyDescent="0.25">
      <c r="A17857" s="57">
        <v>91111804</v>
      </c>
      <c r="B17857" s="58" t="s">
        <v>12474</v>
      </c>
    </row>
    <row r="17858" spans="1:2" x14ac:dyDescent="0.25">
      <c r="A17858" s="57">
        <v>91111901</v>
      </c>
      <c r="B17858" s="58" t="s">
        <v>10787</v>
      </c>
    </row>
    <row r="17859" spans="1:2" x14ac:dyDescent="0.25">
      <c r="A17859" s="57">
        <v>91111902</v>
      </c>
      <c r="B17859" s="58" t="s">
        <v>9920</v>
      </c>
    </row>
    <row r="17860" spans="1:2" x14ac:dyDescent="0.25">
      <c r="A17860" s="57">
        <v>91111903</v>
      </c>
      <c r="B17860" s="58" t="s">
        <v>7520</v>
      </c>
    </row>
    <row r="17861" spans="1:2" x14ac:dyDescent="0.25">
      <c r="A17861" s="57">
        <v>91111904</v>
      </c>
      <c r="B17861" s="58" t="s">
        <v>12165</v>
      </c>
    </row>
    <row r="17862" spans="1:2" x14ac:dyDescent="0.25">
      <c r="A17862" s="57">
        <v>92101501</v>
      </c>
      <c r="B17862" s="58" t="s">
        <v>11582</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10659</v>
      </c>
    </row>
    <row r="17879" spans="1:2" x14ac:dyDescent="0.25">
      <c r="A17879" s="57">
        <v>92101901</v>
      </c>
      <c r="B17879" s="58" t="s">
        <v>11615</v>
      </c>
    </row>
    <row r="17880" spans="1:2" x14ac:dyDescent="0.25">
      <c r="A17880" s="57">
        <v>92101902</v>
      </c>
      <c r="B17880" s="58" t="s">
        <v>12637</v>
      </c>
    </row>
    <row r="17881" spans="1:2" x14ac:dyDescent="0.25">
      <c r="A17881" s="57">
        <v>92101903</v>
      </c>
      <c r="B17881" s="58" t="s">
        <v>11700</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12465</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13829</v>
      </c>
    </row>
    <row r="17912" spans="1:2" x14ac:dyDescent="0.25">
      <c r="A17912" s="57">
        <v>92111809</v>
      </c>
      <c r="B17912" s="58" t="s">
        <v>11317</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11426</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10325</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13733</v>
      </c>
    </row>
    <row r="17936" spans="1:2" x14ac:dyDescent="0.25">
      <c r="A17936" s="57">
        <v>92112401</v>
      </c>
      <c r="B17936" s="58" t="s">
        <v>10321</v>
      </c>
    </row>
    <row r="17937" spans="1:2" x14ac:dyDescent="0.25">
      <c r="A17937" s="57">
        <v>92112402</v>
      </c>
      <c r="B17937" s="58" t="s">
        <v>458</v>
      </c>
    </row>
    <row r="17938" spans="1:2" x14ac:dyDescent="0.25">
      <c r="A17938" s="57">
        <v>92112403</v>
      </c>
      <c r="B17938" s="58" t="s">
        <v>12878</v>
      </c>
    </row>
    <row r="17939" spans="1:2" x14ac:dyDescent="0.25">
      <c r="A17939" s="57">
        <v>92112404</v>
      </c>
      <c r="B17939" s="58" t="s">
        <v>13782</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11954</v>
      </c>
    </row>
    <row r="17944" spans="1:2" x14ac:dyDescent="0.25">
      <c r="A17944" s="57">
        <v>92121504</v>
      </c>
      <c r="B17944" s="58" t="s">
        <v>2395</v>
      </c>
    </row>
    <row r="17945" spans="1:2" x14ac:dyDescent="0.25">
      <c r="A17945" s="57">
        <v>92121601</v>
      </c>
      <c r="B17945" s="58" t="s">
        <v>11754</v>
      </c>
    </row>
    <row r="17946" spans="1:2" x14ac:dyDescent="0.25">
      <c r="A17946" s="57">
        <v>92121602</v>
      </c>
      <c r="B17946" s="58" t="s">
        <v>11105</v>
      </c>
    </row>
    <row r="17947" spans="1:2" x14ac:dyDescent="0.25">
      <c r="A17947" s="57">
        <v>92121603</v>
      </c>
      <c r="B17947" s="58" t="s">
        <v>3592</v>
      </c>
    </row>
    <row r="17948" spans="1:2" x14ac:dyDescent="0.25">
      <c r="A17948" s="57">
        <v>92121604</v>
      </c>
      <c r="B17948" s="58" t="s">
        <v>11175</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11665</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12308</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10892</v>
      </c>
    </row>
    <row r="17962" spans="1:2" x14ac:dyDescent="0.25">
      <c r="A17962" s="57">
        <v>93101604</v>
      </c>
      <c r="B17962" s="58" t="s">
        <v>13371</v>
      </c>
    </row>
    <row r="17963" spans="1:2" x14ac:dyDescent="0.25">
      <c r="A17963" s="57">
        <v>93101605</v>
      </c>
      <c r="B17963" s="58" t="s">
        <v>7806</v>
      </c>
    </row>
    <row r="17964" spans="1:2" x14ac:dyDescent="0.25">
      <c r="A17964" s="57">
        <v>93101606</v>
      </c>
      <c r="B17964" s="58" t="s">
        <v>13477</v>
      </c>
    </row>
    <row r="17965" spans="1:2" x14ac:dyDescent="0.25">
      <c r="A17965" s="57">
        <v>93101607</v>
      </c>
      <c r="B17965" s="58" t="s">
        <v>11808</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9967</v>
      </c>
    </row>
    <row r="17969" spans="1:2" x14ac:dyDescent="0.25">
      <c r="A17969" s="57">
        <v>93101703</v>
      </c>
      <c r="B17969" s="58" t="s">
        <v>13038</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9637</v>
      </c>
    </row>
    <row r="17974" spans="1:2" x14ac:dyDescent="0.25">
      <c r="A17974" s="57">
        <v>93111501</v>
      </c>
      <c r="B17974" s="58" t="s">
        <v>8797</v>
      </c>
    </row>
    <row r="17975" spans="1:2" x14ac:dyDescent="0.25">
      <c r="A17975" s="57">
        <v>93111502</v>
      </c>
      <c r="B17975" s="58" t="s">
        <v>6301</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12571</v>
      </c>
    </row>
    <row r="17986" spans="1:2" x14ac:dyDescent="0.25">
      <c r="A17986" s="57">
        <v>93111606</v>
      </c>
      <c r="B17986" s="58" t="s">
        <v>3511</v>
      </c>
    </row>
    <row r="17987" spans="1:2" x14ac:dyDescent="0.25">
      <c r="A17987" s="57">
        <v>93111607</v>
      </c>
      <c r="B17987" s="58" t="s">
        <v>13118</v>
      </c>
    </row>
    <row r="17988" spans="1:2" x14ac:dyDescent="0.25">
      <c r="A17988" s="57">
        <v>93111608</v>
      </c>
      <c r="B17988" s="58" t="s">
        <v>548</v>
      </c>
    </row>
    <row r="17989" spans="1:2" x14ac:dyDescent="0.25">
      <c r="A17989" s="57">
        <v>93121501</v>
      </c>
      <c r="B17989" s="58" t="s">
        <v>10024</v>
      </c>
    </row>
    <row r="17990" spans="1:2" x14ac:dyDescent="0.25">
      <c r="A17990" s="57">
        <v>93121502</v>
      </c>
      <c r="B17990" s="58" t="s">
        <v>8443</v>
      </c>
    </row>
    <row r="17991" spans="1:2" x14ac:dyDescent="0.25">
      <c r="A17991" s="57">
        <v>93121503</v>
      </c>
      <c r="B17991" s="58" t="s">
        <v>6202</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5631</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9632</v>
      </c>
    </row>
    <row r="18000" spans="1:2" x14ac:dyDescent="0.25">
      <c r="A18000" s="57">
        <v>93121603</v>
      </c>
      <c r="B18000" s="58" t="s">
        <v>13922</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10917</v>
      </c>
    </row>
    <row r="18013" spans="1:2" x14ac:dyDescent="0.25">
      <c r="A18013" s="57">
        <v>93121701</v>
      </c>
      <c r="B18013" s="58" t="s">
        <v>7927</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9653</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4347</v>
      </c>
    </row>
    <row r="18022" spans="1:2" x14ac:dyDescent="0.25">
      <c r="A18022" s="57">
        <v>93121710</v>
      </c>
      <c r="B18022" s="58" t="s">
        <v>14659</v>
      </c>
    </row>
    <row r="18023" spans="1:2" x14ac:dyDescent="0.25">
      <c r="A18023" s="57">
        <v>93121711</v>
      </c>
      <c r="B18023" s="58" t="s">
        <v>10997</v>
      </c>
    </row>
    <row r="18024" spans="1:2" x14ac:dyDescent="0.25">
      <c r="A18024" s="57">
        <v>93131501</v>
      </c>
      <c r="B18024" s="58" t="s">
        <v>869</v>
      </c>
    </row>
    <row r="18025" spans="1:2" x14ac:dyDescent="0.25">
      <c r="A18025" s="57">
        <v>93131502</v>
      </c>
      <c r="B18025" s="58" t="s">
        <v>13017</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17106</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11712</v>
      </c>
    </row>
    <row r="18045" spans="1:2" x14ac:dyDescent="0.25">
      <c r="A18045" s="57">
        <v>93131702</v>
      </c>
      <c r="B18045" s="58" t="s">
        <v>4047</v>
      </c>
    </row>
    <row r="18046" spans="1:2" x14ac:dyDescent="0.25">
      <c r="A18046" s="57">
        <v>93131703</v>
      </c>
      <c r="B18046" s="58" t="s">
        <v>12138</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10395</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12842</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9759</v>
      </c>
    </row>
    <row r="18068" spans="1:2" x14ac:dyDescent="0.25">
      <c r="A18068" s="57">
        <v>93141603</v>
      </c>
      <c r="B18068" s="58" t="s">
        <v>13426</v>
      </c>
    </row>
    <row r="18069" spans="1:2" x14ac:dyDescent="0.25">
      <c r="A18069" s="57">
        <v>93141604</v>
      </c>
      <c r="B18069" s="58" t="s">
        <v>9996</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12858</v>
      </c>
    </row>
    <row r="18075" spans="1:2" x14ac:dyDescent="0.25">
      <c r="A18075" s="57">
        <v>93141610</v>
      </c>
      <c r="B18075" s="58" t="s">
        <v>16173</v>
      </c>
    </row>
    <row r="18076" spans="1:2" x14ac:dyDescent="0.25">
      <c r="A18076" s="57">
        <v>93141611</v>
      </c>
      <c r="B18076" s="58" t="s">
        <v>10203</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9844</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10149</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12322</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17784</v>
      </c>
    </row>
    <row r="18103" spans="1:2" x14ac:dyDescent="0.25">
      <c r="A18103" s="57">
        <v>93141812</v>
      </c>
      <c r="B18103" s="58" t="s">
        <v>12187</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8565</v>
      </c>
    </row>
    <row r="18113" spans="1:2" x14ac:dyDescent="0.25">
      <c r="A18113" s="57">
        <v>93141908</v>
      </c>
      <c r="B18113" s="58" t="s">
        <v>9957</v>
      </c>
    </row>
    <row r="18114" spans="1:2" x14ac:dyDescent="0.25">
      <c r="A18114" s="57">
        <v>93141909</v>
      </c>
      <c r="B18114" s="58" t="s">
        <v>8224</v>
      </c>
    </row>
    <row r="18115" spans="1:2" x14ac:dyDescent="0.25">
      <c r="A18115" s="57">
        <v>93141910</v>
      </c>
      <c r="B18115" s="58" t="s">
        <v>13005</v>
      </c>
    </row>
    <row r="18116" spans="1:2" x14ac:dyDescent="0.25">
      <c r="A18116" s="57">
        <v>93142001</v>
      </c>
      <c r="B18116" s="58" t="s">
        <v>17312</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12656</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11166</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14320</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9903</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12013</v>
      </c>
    </row>
    <row r="18140" spans="1:2" x14ac:dyDescent="0.25">
      <c r="A18140" s="57">
        <v>93151512</v>
      </c>
      <c r="B18140" s="58" t="s">
        <v>9130</v>
      </c>
    </row>
    <row r="18141" spans="1:2" x14ac:dyDescent="0.25">
      <c r="A18141" s="57">
        <v>93151513</v>
      </c>
      <c r="B18141" s="58" t="s">
        <v>11068</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9651</v>
      </c>
    </row>
    <row r="18145" spans="1:2" x14ac:dyDescent="0.25">
      <c r="A18145" s="57">
        <v>93151602</v>
      </c>
      <c r="B18145" s="58" t="s">
        <v>12868</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11314</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11240</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11495</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13711</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6043</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13586</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10546</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11119</v>
      </c>
    </row>
    <row r="18203" spans="1:2" x14ac:dyDescent="0.25">
      <c r="A18203" s="57">
        <v>94101605</v>
      </c>
      <c r="B18203" s="58" t="s">
        <v>15083</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17918</v>
      </c>
    </row>
    <row r="18210" spans="1:2" x14ac:dyDescent="0.25">
      <c r="A18210" s="57">
        <v>94101702</v>
      </c>
      <c r="B18210" s="58" t="s">
        <v>10757</v>
      </c>
    </row>
    <row r="18211" spans="1:2" x14ac:dyDescent="0.25">
      <c r="A18211" s="57">
        <v>94101703</v>
      </c>
      <c r="B18211" s="58" t="s">
        <v>5646</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10242</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11449</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7542</v>
      </c>
    </row>
    <row r="18232" spans="1:2" x14ac:dyDescent="0.25">
      <c r="A18232" s="57">
        <v>94111901</v>
      </c>
      <c r="B18232" s="58" t="s">
        <v>11710</v>
      </c>
    </row>
    <row r="18233" spans="1:2" x14ac:dyDescent="0.25">
      <c r="A18233" s="57">
        <v>94111902</v>
      </c>
      <c r="B18233" s="58" t="s">
        <v>16205</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12929</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12265</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9762</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13485</v>
      </c>
    </row>
    <row r="18267" spans="1:2" x14ac:dyDescent="0.25">
      <c r="A18267" s="57">
        <v>94121803</v>
      </c>
      <c r="B18267" s="58" t="s">
        <v>7653</v>
      </c>
    </row>
    <row r="18268" spans="1:2" x14ac:dyDescent="0.25">
      <c r="A18268" s="57">
        <v>94121804</v>
      </c>
      <c r="B18268" s="58" t="s">
        <v>11402</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13220</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12496</v>
      </c>
    </row>
    <row r="18278" spans="1:2" x14ac:dyDescent="0.25">
      <c r="A18278" s="57">
        <v>94131605</v>
      </c>
      <c r="B18278" s="58" t="s">
        <v>13278</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12966</v>
      </c>
    </row>
    <row r="18284" spans="1:2" x14ac:dyDescent="0.25">
      <c r="A18284" s="57">
        <v>94131703</v>
      </c>
      <c r="B18284" s="58" t="s">
        <v>5128</v>
      </c>
    </row>
    <row r="18285" spans="1:2" x14ac:dyDescent="0.25">
      <c r="A18285" s="57">
        <v>94131704</v>
      </c>
      <c r="B18285" s="58" t="s">
        <v>10571</v>
      </c>
    </row>
    <row r="18286" spans="1:2" x14ac:dyDescent="0.25">
      <c r="A18286" s="57">
        <v>94131801</v>
      </c>
      <c r="B18286" s="58" t="s">
        <v>10133</v>
      </c>
    </row>
    <row r="18287" spans="1:2" x14ac:dyDescent="0.25">
      <c r="A18287" s="57">
        <v>94131802</v>
      </c>
      <c r="B18287" s="58" t="s">
        <v>6560</v>
      </c>
    </row>
    <row r="18288" spans="1:2" x14ac:dyDescent="0.25">
      <c r="A18288" s="57">
        <v>94131803</v>
      </c>
      <c r="B18288" s="58" t="s">
        <v>13302</v>
      </c>
    </row>
    <row r="18289" spans="1:2" x14ac:dyDescent="0.25">
      <c r="A18289" s="57">
        <v>94131804</v>
      </c>
      <c r="B18289" s="58" t="s">
        <v>8656</v>
      </c>
    </row>
    <row r="18290" spans="1:2" x14ac:dyDescent="0.25">
      <c r="A18290" s="57">
        <v>94131805</v>
      </c>
      <c r="B18290" s="58" t="s">
        <v>12293</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11723</v>
      </c>
      <c r="D1" s="59" t="s">
        <v>14377</v>
      </c>
      <c r="E1" s="59" t="s">
        <v>10961</v>
      </c>
      <c r="F1" s="59" t="s">
        <v>11094</v>
      </c>
    </row>
    <row r="2" spans="1:10" ht="11.25" customHeight="1" x14ac:dyDescent="0.2">
      <c r="A2" s="61"/>
      <c r="B2" s="61"/>
      <c r="C2" s="61"/>
      <c r="D2" s="61"/>
      <c r="E2" s="61"/>
      <c r="F2" s="61"/>
    </row>
    <row r="3" spans="1:10" ht="11.25" customHeight="1" x14ac:dyDescent="0.2">
      <c r="A3" s="82" t="s">
        <v>14828</v>
      </c>
      <c r="B3" s="62" t="s">
        <v>8528</v>
      </c>
      <c r="C3" s="71"/>
      <c r="D3" s="82" t="s">
        <v>9385</v>
      </c>
      <c r="E3" s="62" t="s">
        <v>13092</v>
      </c>
      <c r="F3" s="61"/>
    </row>
    <row r="4" spans="1:10" ht="11.25" customHeight="1" x14ac:dyDescent="0.2">
      <c r="A4" s="83"/>
      <c r="B4" s="62" t="s">
        <v>1786</v>
      </c>
      <c r="C4" s="60" t="str">
        <f>IF(C3="","",IF(AND(MONTH(C3)&gt;=1,MONTH(C3)&lt;=3),1,IF(AND(MONTH(C3)&gt;=4,MONTH(C3)&lt;=6),2,IF(AND(MONTH(C3)&gt;=7,MONTH(C3)&lt;=9),3,4))))</f>
        <v/>
      </c>
      <c r="D4" s="83"/>
      <c r="E4" s="62" t="s">
        <v>2417</v>
      </c>
      <c r="F4" s="61"/>
    </row>
    <row r="5" spans="1:10" ht="11.25" customHeight="1" x14ac:dyDescent="0.2">
      <c r="A5" s="83"/>
      <c r="B5" s="62" t="s">
        <v>12941</v>
      </c>
      <c r="C5" s="71"/>
      <c r="D5" s="83"/>
      <c r="E5" s="62" t="s">
        <v>3073</v>
      </c>
      <c r="F5" s="61"/>
    </row>
    <row r="6" spans="1:10" ht="11.25" customHeight="1" x14ac:dyDescent="0.2">
      <c r="A6" s="83"/>
      <c r="B6" s="62" t="s">
        <v>1786</v>
      </c>
      <c r="C6" s="60" t="str">
        <f>IF(C5="","",IF(AND(MONTH(C5)&gt;=1,MONTH(C5)&lt;=3),1,IF(AND(MONTH(C5)&gt;=4,MONTH(C5)&lt;=6),2,IF(AND(MONTH(C5)&gt;=7,MONTH(C5)&lt;=9),3,4))))</f>
        <v/>
      </c>
      <c r="D6" s="83"/>
      <c r="E6" s="62" t="s">
        <v>13191</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Yuriko Ariyama</cp:lastModifiedBy>
  <cp:lastPrinted>2023-08-02T14:37:32Z</cp:lastPrinted>
  <dcterms:created xsi:type="dcterms:W3CDTF">2014-09-22T13:14:27Z</dcterms:created>
  <dcterms:modified xsi:type="dcterms:W3CDTF">2023-08-04T12:26:22Z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